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1667F761-83D0-42A9-A864-E1420D803A8F}" xr6:coauthVersionLast="47" xr6:coauthVersionMax="47" xr10:uidLastSave="{00000000-0000-0000-0000-000000000000}"/>
  <bookViews>
    <workbookView xWindow="-120" yWindow="-120" windowWidth="20730" windowHeight="11160" firstSheet="42" activeTab="44" xr2:uid="{E6AE02E0-E73D-42CF-80FF-5987CABC3C28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 s="1"/>
  <c r="D8" i="4"/>
  <c r="F25" i="4"/>
  <c r="G25" i="4" s="1"/>
  <c r="G26" i="4" s="1"/>
  <c r="G30" i="4" s="1"/>
  <c r="E25" i="4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D26" i="4"/>
  <c r="D30" i="4" s="1"/>
  <c r="E26" i="4"/>
  <c r="E30" i="4" s="1"/>
  <c r="F26" i="4"/>
  <c r="F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D7" i="4"/>
  <c r="E7" i="4"/>
  <c r="F7" i="4"/>
  <c r="G7" i="4"/>
  <c r="C39" i="4"/>
  <c r="C30" i="4"/>
  <c r="C40" i="4" s="1"/>
  <c r="C26" i="4"/>
  <c r="C19" i="4"/>
  <c r="C13" i="4"/>
  <c r="C7" i="4"/>
  <c r="C9" i="4" s="1"/>
  <c r="C21" i="4" s="1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E38" i="4" l="1"/>
  <c r="D39" i="4"/>
  <c r="D40" i="4"/>
  <c r="F9" i="4"/>
  <c r="F21" i="4" s="1"/>
  <c r="G8" i="4"/>
  <c r="G9" i="4" s="1"/>
  <c r="G21" i="4" s="1"/>
  <c r="F38" i="4" l="1"/>
  <c r="E39" i="4"/>
  <c r="E40" i="4" s="1"/>
  <c r="F39" i="4" l="1"/>
  <c r="F40" i="4" s="1"/>
  <c r="G38" i="4"/>
  <c r="G39" i="4" s="1"/>
  <c r="G40" i="4" s="1"/>
</calcChain>
</file>

<file path=xl/sharedStrings.xml><?xml version="1.0" encoding="utf-8"?>
<sst xmlns="http://schemas.openxmlformats.org/spreadsheetml/2006/main" count="490" uniqueCount="203">
  <si>
    <t>Balance Sheet of Vedanta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</si>
  <si>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</si>
  <si>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</si>
  <si>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</si>
  <si>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</si>
  <si>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</si>
  <si>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</si>
  <si>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</si>
  <si>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</si>
  <si>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</si>
  <si>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</si>
  <si>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</si>
  <si>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</si>
  <si>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</si>
  <si>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</si>
  <si>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</si>
  <si>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</si>
  <si>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</si>
  <si>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</si>
  <si>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</si>
  <si>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</si>
  <si>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</si>
  <si>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</si>
  <si>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</si>
  <si>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</si>
  <si>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</si>
  <si>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</si>
  <si>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</si>
  <si>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</si>
  <si>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</si>
  <si>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</si>
  <si>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</si>
  <si>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</si>
  <si>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</si>
  <si>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</si>
  <si>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</si>
  <si>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</si>
  <si>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</si>
  <si>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</si>
  <si>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</si>
  <si>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</si>
  <si>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</si>
  <si>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</si>
  <si>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</si>
  <si>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</si>
  <si>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</si>
  <si>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</si>
  <si>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</si>
  <si>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</si>
  <si>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</si>
  <si>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</si>
  <si>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</si>
  <si>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</si>
  <si>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</si>
  <si>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</si>
  <si>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Vedanta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</si>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</sst>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9D7-4B25-AA77-227627ADE0F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9D7-4B25-AA77-227627ADE0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28</c:v>
                </c:pt>
                <c:pt idx="1">
                  <c:v>19</c:v>
                </c:pt>
                <c:pt idx="2">
                  <c:v>-18</c:v>
                </c:pt>
                <c:pt idx="3">
                  <c:v>31</c:v>
                </c:pt>
                <c:pt idx="4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9D7-4B25-AA77-227627ADE0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842296"/>
        <c:axId val="452839016"/>
      </c:lineChart>
      <c:catAx>
        <c:axId val="452842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839016"/>
        <c:crosses val="autoZero"/>
        <c:auto val="0"/>
        <c:lblAlgn val="ctr"/>
        <c:lblOffset val="100"/>
        <c:noMultiLvlLbl val="0"/>
      </c:catAx>
      <c:valAx>
        <c:axId val="4528390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2842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FA8-4B5F-92C6-546343B1AB5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FA8-4B5F-92C6-546343B1AB5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0.11</c:v>
                </c:pt>
                <c:pt idx="1">
                  <c:v>7.0000000000000007E-2</c:v>
                </c:pt>
                <c:pt idx="2">
                  <c:v>-0.04</c:v>
                </c:pt>
                <c:pt idx="3">
                  <c:v>0.11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FA8-4B5F-92C6-546343B1A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6984"/>
        <c:axId val="449427640"/>
      </c:lineChart>
      <c:catAx>
        <c:axId val="449426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7640"/>
        <c:crosses val="autoZero"/>
        <c:auto val="0"/>
        <c:lblAlgn val="ctr"/>
        <c:lblOffset val="100"/>
        <c:noMultiLvlLbl val="0"/>
      </c:catAx>
      <c:valAx>
        <c:axId val="4494276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69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F30-436A-9C3A-8116DD199E7B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F30-436A-9C3A-8116DD199E7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0.83</c:v>
                </c:pt>
                <c:pt idx="1">
                  <c:v>0.97</c:v>
                </c:pt>
                <c:pt idx="2">
                  <c:v>1.06</c:v>
                </c:pt>
                <c:pt idx="3">
                  <c:v>0.75</c:v>
                </c:pt>
                <c:pt idx="4">
                  <c:v>0.64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F30-436A-9C3A-8116DD199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0592"/>
        <c:axId val="449420752"/>
      </c:lineChart>
      <c:catAx>
        <c:axId val="44943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0752"/>
        <c:crosses val="autoZero"/>
        <c:auto val="0"/>
        <c:lblAlgn val="ctr"/>
        <c:lblOffset val="100"/>
        <c:noMultiLvlLbl val="0"/>
      </c:catAx>
      <c:valAx>
        <c:axId val="4494207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305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FD1-4351-BD0F-E220F3D9533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FD1-4351-BD0F-E220F3D9533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FD1-4351-BD0F-E220F3D9533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AFD1-4351-BD0F-E220F3D9533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0.83</c:v>
                </c:pt>
                <c:pt idx="1">
                  <c:v>0.97</c:v>
                </c:pt>
                <c:pt idx="2">
                  <c:v>1.47</c:v>
                </c:pt>
                <c:pt idx="3">
                  <c:v>1.71</c:v>
                </c:pt>
                <c:pt idx="4">
                  <c:v>2.23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FD1-4351-BD0F-E220F3D95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788464"/>
        <c:axId val="447841480"/>
      </c:lineChart>
      <c:catAx>
        <c:axId val="45078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41480"/>
        <c:crosses val="autoZero"/>
        <c:auto val="0"/>
        <c:lblAlgn val="ctr"/>
        <c:lblOffset val="100"/>
        <c:noMultiLvlLbl val="0"/>
      </c:catAx>
      <c:valAx>
        <c:axId val="447841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7884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CAB-47BD-BD2F-683A344D29C8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CAB-47BD-BD2F-683A344D29C8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FCAB-47BD-BD2F-683A344D29C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FCAB-47BD-BD2F-683A344D29C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0.61</c:v>
                </c:pt>
                <c:pt idx="1">
                  <c:v>0.76</c:v>
                </c:pt>
                <c:pt idx="2">
                  <c:v>1.25</c:v>
                </c:pt>
                <c:pt idx="3">
                  <c:v>1.54</c:v>
                </c:pt>
                <c:pt idx="4">
                  <c:v>1.98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CAB-47BD-BD2F-683A344D2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471208"/>
        <c:axId val="453478424"/>
      </c:lineChart>
      <c:catAx>
        <c:axId val="453471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8424"/>
        <c:crosses val="autoZero"/>
        <c:auto val="0"/>
        <c:lblAlgn val="ctr"/>
        <c:lblOffset val="100"/>
        <c:noMultiLvlLbl val="0"/>
      </c:catAx>
      <c:valAx>
        <c:axId val="453478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4712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F9C-42FE-B613-F5B9A9C3040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F9C-42FE-B613-F5B9A9C3040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3.84</c:v>
                </c:pt>
                <c:pt idx="1">
                  <c:v>3.24</c:v>
                </c:pt>
                <c:pt idx="2">
                  <c:v>2.9</c:v>
                </c:pt>
                <c:pt idx="3">
                  <c:v>4.37</c:v>
                </c:pt>
                <c:pt idx="4">
                  <c:v>7.31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F9C-42FE-B613-F5B9A9C304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1736"/>
        <c:axId val="450786496"/>
      </c:lineChart>
      <c:catAx>
        <c:axId val="449421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786496"/>
        <c:crosses val="autoZero"/>
        <c:auto val="0"/>
        <c:lblAlgn val="ctr"/>
        <c:lblOffset val="100"/>
        <c:noMultiLvlLbl val="0"/>
      </c:catAx>
      <c:valAx>
        <c:axId val="450786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17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66B-4982-B13B-48761D91958E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66B-4982-B13B-48761D91958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0.35</c:v>
                </c:pt>
                <c:pt idx="1">
                  <c:v>0.28000000000000003</c:v>
                </c:pt>
                <c:pt idx="2">
                  <c:v>0.25</c:v>
                </c:pt>
                <c:pt idx="3">
                  <c:v>0.26</c:v>
                </c:pt>
                <c:pt idx="4">
                  <c:v>0.28000000000000003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66B-4982-B13B-48761D919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771032"/>
        <c:axId val="625771688"/>
      </c:lineChart>
      <c:catAx>
        <c:axId val="625771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71688"/>
        <c:crosses val="autoZero"/>
        <c:auto val="0"/>
        <c:lblAlgn val="ctr"/>
        <c:lblOffset val="100"/>
        <c:noMultiLvlLbl val="0"/>
      </c:catAx>
      <c:valAx>
        <c:axId val="6257716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57710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F98-4E6F-AB0D-F75C0BCE781D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F98-4E6F-AB0D-F75C0BCE781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98-4E6F-AB0D-F75C0BCE78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60.28</c:v>
                </c:pt>
                <c:pt idx="1">
                  <c:v>304.89999999999998</c:v>
                </c:pt>
                <c:pt idx="2">
                  <c:v>602.70000000000005</c:v>
                </c:pt>
                <c:pt idx="3">
                  <c:v>816.36</c:v>
                </c:pt>
                <c:pt idx="4">
                  <c:v>723.46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F98-4E6F-AB0D-F75C0BCE78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3744"/>
        <c:axId val="439797384"/>
      </c:lineChart>
      <c:catAx>
        <c:axId val="36404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797384"/>
        <c:crosses val="autoZero"/>
        <c:auto val="0"/>
        <c:lblAlgn val="ctr"/>
        <c:lblOffset val="100"/>
        <c:noMultiLvlLbl val="0"/>
      </c:catAx>
      <c:valAx>
        <c:axId val="439797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37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F4E-4E87-AE2D-A670E65FFCF8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F4E-4E87-AE2D-A670E65FFCF8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5F4E-4E87-AE2D-A670E65FFCF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F4E-4E87-AE2D-A670E65FFC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5216</c:v>
                </c:pt>
                <c:pt idx="1">
                  <c:v>21293</c:v>
                </c:pt>
                <c:pt idx="2">
                  <c:v>35107</c:v>
                </c:pt>
                <c:pt idx="3">
                  <c:v>51104</c:v>
                </c:pt>
                <c:pt idx="4">
                  <c:v>73678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4E-4E87-AE2D-A670E65FF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024496"/>
        <c:axId val="448024824"/>
      </c:lineChart>
      <c:catAx>
        <c:axId val="448024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024824"/>
        <c:crosses val="autoZero"/>
        <c:auto val="0"/>
        <c:lblAlgn val="ctr"/>
        <c:lblOffset val="100"/>
        <c:noMultiLvlLbl val="0"/>
      </c:catAx>
      <c:valAx>
        <c:axId val="448024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0244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DBF-4435-AE07-F8064702B563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DBF-4435-AE07-F8064702B56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DBF-4435-AE07-F8064702B5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0.5</c:v>
                </c:pt>
                <c:pt idx="1">
                  <c:v>0.45</c:v>
                </c:pt>
                <c:pt idx="2">
                  <c:v>0.45</c:v>
                </c:pt>
                <c:pt idx="3">
                  <c:v>0.45</c:v>
                </c:pt>
                <c:pt idx="4">
                  <c:v>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DBF-4435-AE07-F8064702B5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2787000"/>
        <c:axId val="632788968"/>
      </c:lineChart>
      <c:catAx>
        <c:axId val="632787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788968"/>
        <c:crosses val="autoZero"/>
        <c:auto val="0"/>
        <c:lblAlgn val="ctr"/>
        <c:lblOffset val="100"/>
        <c:noMultiLvlLbl val="0"/>
      </c:catAx>
      <c:valAx>
        <c:axId val="632788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2787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5D2-4B12-94EC-C752E53B780F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5D2-4B12-94EC-C752E53B780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5D2-4B12-94EC-C752E53B780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7.69</c:v>
                </c:pt>
                <c:pt idx="1">
                  <c:v>6.89</c:v>
                </c:pt>
                <c:pt idx="2">
                  <c:v>7.37</c:v>
                </c:pt>
                <c:pt idx="3">
                  <c:v>8.75</c:v>
                </c:pt>
                <c:pt idx="4">
                  <c:v>9.17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5D2-4B12-94EC-C752E53B7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471536"/>
        <c:axId val="453473176"/>
      </c:lineChart>
      <c:catAx>
        <c:axId val="45347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3176"/>
        <c:crosses val="autoZero"/>
        <c:auto val="0"/>
        <c:lblAlgn val="ctr"/>
        <c:lblOffset val="100"/>
        <c:noMultiLvlLbl val="0"/>
      </c:catAx>
      <c:valAx>
        <c:axId val="4534731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4715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B49-4E0A-B884-1143453215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19.7</c:v>
                </c:pt>
                <c:pt idx="1">
                  <c:v>17.350000000000001</c:v>
                </c:pt>
                <c:pt idx="2">
                  <c:v>6.93</c:v>
                </c:pt>
                <c:pt idx="3">
                  <c:v>7.42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B49-4E0A-B884-1143453215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941296"/>
        <c:axId val="627515128"/>
      </c:lineChart>
      <c:catAx>
        <c:axId val="55394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15128"/>
        <c:crosses val="autoZero"/>
        <c:auto val="0"/>
        <c:lblAlgn val="ctr"/>
        <c:lblOffset val="100"/>
        <c:noMultiLvlLbl val="0"/>
      </c:catAx>
      <c:valAx>
        <c:axId val="627515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941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D57-4B82-A5DE-784F749704B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D57-4B82-A5DE-784F749704B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23.18</c:v>
                </c:pt>
                <c:pt idx="1">
                  <c:v>22.83</c:v>
                </c:pt>
                <c:pt idx="2">
                  <c:v>30.98</c:v>
                </c:pt>
                <c:pt idx="3">
                  <c:v>24.88</c:v>
                </c:pt>
                <c:pt idx="4">
                  <c:v>26.52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D57-4B82-A5DE-784F74970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6568"/>
        <c:axId val="553648208"/>
      </c:lineChart>
      <c:catAx>
        <c:axId val="553646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8208"/>
        <c:crosses val="autoZero"/>
        <c:auto val="0"/>
        <c:lblAlgn val="ctr"/>
        <c:lblOffset val="100"/>
        <c:noMultiLvlLbl val="0"/>
      </c:catAx>
      <c:valAx>
        <c:axId val="553648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6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2B2-4521-B13C-805A759B75F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2B2-4521-B13C-805A759B75F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E2B2-4521-B13C-805A759B75F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1.1599999999999999</c:v>
                </c:pt>
                <c:pt idx="1">
                  <c:v>0.95</c:v>
                </c:pt>
                <c:pt idx="2">
                  <c:v>0.95</c:v>
                </c:pt>
                <c:pt idx="3">
                  <c:v>0.97</c:v>
                </c:pt>
                <c:pt idx="4">
                  <c:v>1.2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B2-4521-B13C-805A759B75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6576"/>
        <c:axId val="553592968"/>
      </c:lineChart>
      <c:catAx>
        <c:axId val="55359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2968"/>
        <c:crosses val="autoZero"/>
        <c:auto val="0"/>
        <c:lblAlgn val="ctr"/>
        <c:lblOffset val="100"/>
        <c:noMultiLvlLbl val="0"/>
      </c:catAx>
      <c:valAx>
        <c:axId val="553592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6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743-4088-A4FF-088E0D3E412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743-4088-A4FF-088E0D3E41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0.6</c:v>
                </c:pt>
                <c:pt idx="1">
                  <c:v>0.41</c:v>
                </c:pt>
                <c:pt idx="2">
                  <c:v>0.42</c:v>
                </c:pt>
                <c:pt idx="3">
                  <c:v>0.41</c:v>
                </c:pt>
                <c:pt idx="4">
                  <c:v>0.64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743-4088-A4FF-088E0D3E4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6224"/>
        <c:axId val="553814912"/>
      </c:lineChart>
      <c:catAx>
        <c:axId val="553816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4912"/>
        <c:crosses val="autoZero"/>
        <c:auto val="0"/>
        <c:lblAlgn val="ctr"/>
        <c:lblOffset val="100"/>
        <c:noMultiLvlLbl val="0"/>
      </c:catAx>
      <c:valAx>
        <c:axId val="5538149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62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F1E-4F82-A57A-C83C1006BB0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47.47</c:v>
                </c:pt>
                <c:pt idx="1">
                  <c:v>52.99</c:v>
                </c:pt>
                <c:pt idx="2">
                  <c:v>49.52</c:v>
                </c:pt>
                <c:pt idx="3">
                  <c:v>41.7</c:v>
                </c:pt>
                <c:pt idx="4">
                  <c:v>39.82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1E-4F82-A57A-C83C1006BB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0712"/>
        <c:axId val="548322152"/>
      </c:lineChart>
      <c:catAx>
        <c:axId val="549540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2152"/>
        <c:crosses val="autoZero"/>
        <c:auto val="0"/>
        <c:lblAlgn val="ctr"/>
        <c:lblOffset val="100"/>
        <c:noMultiLvlLbl val="0"/>
      </c:catAx>
      <c:valAx>
        <c:axId val="548322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07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500-4F12-B4B2-1B81E1477EF8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500-4F12-B4B2-1B81E1477E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606.92999999999995</c:v>
                </c:pt>
                <c:pt idx="1">
                  <c:v>892.55</c:v>
                </c:pt>
                <c:pt idx="2">
                  <c:v>862.59</c:v>
                </c:pt>
                <c:pt idx="3">
                  <c:v>901.05</c:v>
                </c:pt>
                <c:pt idx="4">
                  <c:v>572.97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00-4F12-B4B2-1B81E1477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1665328"/>
        <c:axId val="631665984"/>
      </c:lineChart>
      <c:catAx>
        <c:axId val="63166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1665984"/>
        <c:crosses val="autoZero"/>
        <c:auto val="0"/>
        <c:lblAlgn val="ctr"/>
        <c:lblOffset val="100"/>
        <c:noMultiLvlLbl val="0"/>
      </c:catAx>
      <c:valAx>
        <c:axId val="631665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16653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147-4DF3-9959-EB9340A9E2A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147-4DF3-9959-EB9340A9E2A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15.74</c:v>
                </c:pt>
                <c:pt idx="1">
                  <c:v>15.99</c:v>
                </c:pt>
                <c:pt idx="2">
                  <c:v>11.78</c:v>
                </c:pt>
                <c:pt idx="3">
                  <c:v>14.67</c:v>
                </c:pt>
                <c:pt idx="4">
                  <c:v>13.76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47-4DF3-9959-EB9340A9E2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7552"/>
        <c:axId val="553648864"/>
      </c:lineChart>
      <c:catAx>
        <c:axId val="55364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8864"/>
        <c:crosses val="autoZero"/>
        <c:auto val="0"/>
        <c:lblAlgn val="ctr"/>
        <c:lblOffset val="100"/>
        <c:noMultiLvlLbl val="0"/>
      </c:catAx>
      <c:valAx>
        <c:axId val="553648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75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003-43ED-8DCC-3F86C831B4D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003-43ED-8DCC-3F86C831B4D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654.4</c:v>
                </c:pt>
                <c:pt idx="1">
                  <c:v>945.54</c:v>
                </c:pt>
                <c:pt idx="2">
                  <c:v>912.11</c:v>
                </c:pt>
                <c:pt idx="3">
                  <c:v>942.75</c:v>
                </c:pt>
                <c:pt idx="4">
                  <c:v>612.79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03-43ED-8DCC-3F86C831B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4608"/>
        <c:axId val="553816552"/>
      </c:lineChart>
      <c:catAx>
        <c:axId val="553594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6552"/>
        <c:crosses val="autoZero"/>
        <c:auto val="0"/>
        <c:lblAlgn val="ctr"/>
        <c:lblOffset val="100"/>
        <c:noMultiLvlLbl val="0"/>
      </c:catAx>
      <c:valAx>
        <c:axId val="553816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35946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FFB-4D17-821C-C08F2990563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FFB-4D17-821C-C08F2990563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8FFB-4D17-821C-C08F299056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-47.47</c:v>
                </c:pt>
                <c:pt idx="1">
                  <c:v>-52.99</c:v>
                </c:pt>
                <c:pt idx="2">
                  <c:v>-49.52</c:v>
                </c:pt>
                <c:pt idx="3">
                  <c:v>-41.7</c:v>
                </c:pt>
                <c:pt idx="4">
                  <c:v>-39.82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FB-4D17-821C-C08F299056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4385408"/>
        <c:axId val="624385736"/>
      </c:lineChart>
      <c:catAx>
        <c:axId val="62438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385736"/>
        <c:crosses val="autoZero"/>
        <c:auto val="0"/>
        <c:lblAlgn val="ctr"/>
        <c:lblOffset val="100"/>
        <c:noMultiLvlLbl val="0"/>
      </c:catAx>
      <c:valAx>
        <c:axId val="624385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243854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63508</c:v>
                </c:pt>
                <c:pt idx="1">
                  <c:v>64308</c:v>
                </c:pt>
                <c:pt idx="2">
                  <c:v>58209</c:v>
                </c:pt>
                <c:pt idx="3">
                  <c:v>69398</c:v>
                </c:pt>
                <c:pt idx="4">
                  <c:v>89651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AE-44B5-8744-DEF207D5D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1900888"/>
        <c:axId val="551902856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184798</c:v>
                </c:pt>
                <c:pt idx="1">
                  <c:v>204052</c:v>
                </c:pt>
                <c:pt idx="2">
                  <c:v>187194</c:v>
                </c:pt>
                <c:pt idx="3">
                  <c:v>192815</c:v>
                </c:pt>
                <c:pt idx="4">
                  <c:v>222868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FAE-44B5-8744-DEF207D5D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900888"/>
        <c:axId val="551902856"/>
      </c:lineChart>
      <c:catAx>
        <c:axId val="551900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902856"/>
        <c:crosses val="autoZero"/>
        <c:auto val="1"/>
        <c:lblAlgn val="ctr"/>
        <c:lblOffset val="100"/>
        <c:noMultiLvlLbl val="0"/>
      </c:catAx>
      <c:valAx>
        <c:axId val="5519028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90088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28496</c:v>
                </c:pt>
                <c:pt idx="1">
                  <c:v>26634</c:v>
                </c:pt>
                <c:pt idx="2">
                  <c:v>23537</c:v>
                </c:pt>
                <c:pt idx="3">
                  <c:v>30414</c:v>
                </c:pt>
                <c:pt idx="4">
                  <c:v>43968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45-43E3-82C1-B0E61FA8DA92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22213</c:v>
                </c:pt>
                <c:pt idx="1">
                  <c:v>18442</c:v>
                </c:pt>
                <c:pt idx="2">
                  <c:v>14444</c:v>
                </c:pt>
                <c:pt idx="3">
                  <c:v>22776</c:v>
                </c:pt>
                <c:pt idx="4">
                  <c:v>35073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45-43E3-82C1-B0E61FA8D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1665656"/>
        <c:axId val="631661720"/>
      </c:barChart>
      <c:catAx>
        <c:axId val="63166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1661720"/>
        <c:crosses val="autoZero"/>
        <c:auto val="1"/>
        <c:lblAlgn val="ctr"/>
        <c:lblOffset val="100"/>
        <c:noMultiLvlLbl val="0"/>
      </c:catAx>
      <c:valAx>
        <c:axId val="6316617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166565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A35-4E32-862A-43F6B67A5F65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A35-4E32-862A-43F6B67A5F6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A35-4E32-862A-43F6B67A5F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132.21</c:v>
                </c:pt>
                <c:pt idx="1">
                  <c:v>132.65</c:v>
                </c:pt>
                <c:pt idx="2">
                  <c:v>237.97</c:v>
                </c:pt>
                <c:pt idx="3">
                  <c:v>146.27000000000001</c:v>
                </c:pt>
                <c:pt idx="4">
                  <c:v>225.75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A35-4E32-862A-43F6B67A5F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5840"/>
        <c:axId val="449434856"/>
      </c:lineChart>
      <c:catAx>
        <c:axId val="449435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4856"/>
        <c:crosses val="autoZero"/>
        <c:auto val="0"/>
        <c:lblAlgn val="ctr"/>
        <c:lblOffset val="100"/>
        <c:noMultiLvlLbl val="0"/>
      </c:catAx>
      <c:valAx>
        <c:axId val="4494348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358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43764</c:v>
                </c:pt>
                <c:pt idx="1">
                  <c:v>60546</c:v>
                </c:pt>
                <c:pt idx="2">
                  <c:v>73985</c:v>
                </c:pt>
                <c:pt idx="3">
                  <c:v>96728</c:v>
                </c:pt>
                <c:pt idx="4">
                  <c:v>130050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F76-4F59-8EBC-CF54E44F1001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52515</c:v>
                </c:pt>
                <c:pt idx="1">
                  <c:v>62332</c:v>
                </c:pt>
                <c:pt idx="2">
                  <c:v>50245</c:v>
                </c:pt>
                <c:pt idx="3">
                  <c:v>56406</c:v>
                </c:pt>
                <c:pt idx="4">
                  <c:v>58352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F76-4F59-8EBC-CF54E44F1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3474488"/>
        <c:axId val="453473504"/>
      </c:barChart>
      <c:catAx>
        <c:axId val="453474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3504"/>
        <c:crosses val="autoZero"/>
        <c:auto val="1"/>
        <c:lblAlgn val="ctr"/>
        <c:lblOffset val="100"/>
        <c:noMultiLvlLbl val="0"/>
      </c:catAx>
      <c:valAx>
        <c:axId val="453473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448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2361</c:v>
                </c:pt>
                <c:pt idx="1">
                  <c:v>2596</c:v>
                </c:pt>
                <c:pt idx="2">
                  <c:v>2828</c:v>
                </c:pt>
                <c:pt idx="3">
                  <c:v>3132</c:v>
                </c:pt>
                <c:pt idx="4">
                  <c:v>3386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E4-46D9-93DC-1F2849BE5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1659752"/>
        <c:axId val="631662704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410</c:v>
                </c:pt>
                <c:pt idx="1">
                  <c:v>387</c:v>
                </c:pt>
                <c:pt idx="2">
                  <c:v>355</c:v>
                </c:pt>
                <c:pt idx="3">
                  <c:v>353</c:v>
                </c:pt>
                <c:pt idx="4">
                  <c:v>417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BE4-46D9-93DC-1F2849BE59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2229856"/>
        <c:axId val="632225264"/>
      </c:lineChart>
      <c:catAx>
        <c:axId val="631659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31662704"/>
        <c:crosses val="autoZero"/>
        <c:auto val="1"/>
        <c:lblAlgn val="ctr"/>
        <c:lblOffset val="100"/>
        <c:noMultiLvlLbl val="0"/>
      </c:catAx>
      <c:valAx>
        <c:axId val="631662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1659752"/>
        <c:crosses val="autoZero"/>
        <c:crossBetween val="between"/>
      </c:valAx>
      <c:valAx>
        <c:axId val="63222526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32229856"/>
        <c:crosses val="max"/>
        <c:crossBetween val="between"/>
      </c:valAx>
      <c:catAx>
        <c:axId val="632229856"/>
        <c:scaling>
          <c:orientation val="minMax"/>
        </c:scaling>
        <c:delete val="1"/>
        <c:axPos val="b"/>
        <c:majorTickMark val="out"/>
        <c:minorTickMark val="none"/>
        <c:tickLblPos val="nextTo"/>
        <c:crossAx val="63222526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31582</c:v>
                </c:pt>
                <c:pt idx="1">
                  <c:v>25490</c:v>
                </c:pt>
                <c:pt idx="2">
                  <c:v>21261</c:v>
                </c:pt>
                <c:pt idx="3">
                  <c:v>22849</c:v>
                </c:pt>
                <c:pt idx="4">
                  <c:v>37172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E05-4F46-B869-AC7C930D6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969200"/>
        <c:axId val="451968544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14026</c:v>
                </c:pt>
                <c:pt idx="1">
                  <c:v>18144</c:v>
                </c:pt>
                <c:pt idx="2">
                  <c:v>16606</c:v>
                </c:pt>
                <c:pt idx="3">
                  <c:v>13674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E05-4F46-B869-AC7C930D69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195672"/>
        <c:axId val="625200592"/>
      </c:lineChart>
      <c:catAx>
        <c:axId val="45196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1968544"/>
        <c:crosses val="autoZero"/>
        <c:auto val="1"/>
        <c:lblAlgn val="ctr"/>
        <c:lblOffset val="100"/>
        <c:noMultiLvlLbl val="0"/>
      </c:catAx>
      <c:valAx>
        <c:axId val="451968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969200"/>
        <c:crosses val="autoZero"/>
        <c:crossBetween val="between"/>
      </c:valAx>
      <c:valAx>
        <c:axId val="62520059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5195672"/>
        <c:crosses val="max"/>
        <c:crossBetween val="between"/>
      </c:valAx>
      <c:catAx>
        <c:axId val="625195672"/>
        <c:scaling>
          <c:orientation val="minMax"/>
        </c:scaling>
        <c:delete val="1"/>
        <c:axPos val="b"/>
        <c:majorTickMark val="out"/>
        <c:minorTickMark val="none"/>
        <c:tickLblPos val="nextTo"/>
        <c:crossAx val="625200592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92011</c:v>
                </c:pt>
                <c:pt idx="1">
                  <c:v>90901</c:v>
                </c:pt>
                <c:pt idx="2">
                  <c:v>83545</c:v>
                </c:pt>
                <c:pt idx="3">
                  <c:v>86863</c:v>
                </c:pt>
                <c:pt idx="4">
                  <c:v>131192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30-4700-9AA2-72D93CD51548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94528</c:v>
                </c:pt>
                <c:pt idx="1">
                  <c:v>94919</c:v>
                </c:pt>
                <c:pt idx="2">
                  <c:v>86055</c:v>
                </c:pt>
                <c:pt idx="3">
                  <c:v>90284</c:v>
                </c:pt>
                <c:pt idx="4">
                  <c:v>133792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30-4700-9AA2-72D93CD51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3476456"/>
        <c:axId val="548323136"/>
      </c:barChart>
      <c:catAx>
        <c:axId val="453476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3136"/>
        <c:crosses val="autoZero"/>
        <c:auto val="1"/>
        <c:lblAlgn val="ctr"/>
        <c:lblOffset val="100"/>
        <c:noMultiLvlLbl val="0"/>
      </c:catAx>
      <c:valAx>
        <c:axId val="548323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645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184798</c:v>
                </c:pt>
                <c:pt idx="1">
                  <c:v>204052</c:v>
                </c:pt>
                <c:pt idx="2">
                  <c:v>187194</c:v>
                </c:pt>
                <c:pt idx="3">
                  <c:v>192815</c:v>
                </c:pt>
                <c:pt idx="4">
                  <c:v>222868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1A-4B83-A9C3-C8469D3B5568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52818</c:v>
                </c:pt>
                <c:pt idx="1">
                  <c:v>62185</c:v>
                </c:pt>
                <c:pt idx="2">
                  <c:v>61628</c:v>
                </c:pt>
                <c:pt idx="3">
                  <c:v>51873</c:v>
                </c:pt>
                <c:pt idx="4">
                  <c:v>57544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21A-4B83-A9C3-C8469D3B55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2231168"/>
        <c:axId val="632230184"/>
      </c:barChart>
      <c:catAx>
        <c:axId val="632231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230184"/>
        <c:crosses val="autoZero"/>
        <c:auto val="1"/>
        <c:lblAlgn val="ctr"/>
        <c:lblOffset val="100"/>
        <c:noMultiLvlLbl val="0"/>
      </c:catAx>
      <c:valAx>
        <c:axId val="632230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23116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184798</c:v>
                </c:pt>
                <c:pt idx="1">
                  <c:v>204052</c:v>
                </c:pt>
                <c:pt idx="2">
                  <c:v>187194</c:v>
                </c:pt>
                <c:pt idx="3">
                  <c:v>192815</c:v>
                </c:pt>
                <c:pt idx="4">
                  <c:v>222868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03-481C-854C-86934067B865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52515</c:v>
                </c:pt>
                <c:pt idx="1">
                  <c:v>62332</c:v>
                </c:pt>
                <c:pt idx="2">
                  <c:v>50245</c:v>
                </c:pt>
                <c:pt idx="3">
                  <c:v>56406</c:v>
                </c:pt>
                <c:pt idx="4">
                  <c:v>58352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03-481C-854C-86934067B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1662376"/>
        <c:axId val="631660736"/>
      </c:barChart>
      <c:catAx>
        <c:axId val="631662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1660736"/>
        <c:crosses val="autoZero"/>
        <c:auto val="1"/>
        <c:lblAlgn val="ctr"/>
        <c:lblOffset val="100"/>
        <c:noMultiLvlLbl val="0"/>
      </c:catAx>
      <c:valAx>
        <c:axId val="631660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16623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184798</c:v>
                </c:pt>
                <c:pt idx="1">
                  <c:v>204052</c:v>
                </c:pt>
                <c:pt idx="2">
                  <c:v>187194</c:v>
                </c:pt>
                <c:pt idx="3">
                  <c:v>192815</c:v>
                </c:pt>
                <c:pt idx="4">
                  <c:v>222868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D46-485A-91FF-214A7E0A4034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141034</c:v>
                </c:pt>
                <c:pt idx="1">
                  <c:v>143506</c:v>
                </c:pt>
                <c:pt idx="2">
                  <c:v>113209</c:v>
                </c:pt>
                <c:pt idx="3">
                  <c:v>96087</c:v>
                </c:pt>
                <c:pt idx="4">
                  <c:v>92818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D46-485A-91FF-214A7E0A4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8238768"/>
        <c:axId val="448243688"/>
      </c:barChart>
      <c:catAx>
        <c:axId val="44823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243688"/>
        <c:crosses val="autoZero"/>
        <c:auto val="1"/>
        <c:lblAlgn val="ctr"/>
        <c:lblOffset val="100"/>
        <c:noMultiLvlLbl val="0"/>
      </c:catAx>
      <c:valAx>
        <c:axId val="4482436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23876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184798</c:v>
                </c:pt>
                <c:pt idx="1">
                  <c:v>204052</c:v>
                </c:pt>
                <c:pt idx="2">
                  <c:v>187194</c:v>
                </c:pt>
                <c:pt idx="3">
                  <c:v>192815</c:v>
                </c:pt>
                <c:pt idx="4">
                  <c:v>222868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65-463E-B0A3-AD429A73EC6D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43764</c:v>
                </c:pt>
                <c:pt idx="1">
                  <c:v>60546</c:v>
                </c:pt>
                <c:pt idx="2">
                  <c:v>73985</c:v>
                </c:pt>
                <c:pt idx="3">
                  <c:v>96728</c:v>
                </c:pt>
                <c:pt idx="4">
                  <c:v>130050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65-463E-B0A3-AD429A73E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3071928"/>
        <c:axId val="453067336"/>
      </c:barChart>
      <c:catAx>
        <c:axId val="453071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067336"/>
        <c:crosses val="autoZero"/>
        <c:auto val="1"/>
        <c:lblAlgn val="ctr"/>
        <c:lblOffset val="100"/>
        <c:noMultiLvlLbl val="0"/>
      </c:catAx>
      <c:valAx>
        <c:axId val="453067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07192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66032</c:v>
                </c:pt>
                <c:pt idx="1">
                  <c:v>68285</c:v>
                </c:pt>
                <c:pt idx="2">
                  <c:v>62518</c:v>
                </c:pt>
                <c:pt idx="3">
                  <c:v>59870</c:v>
                </c:pt>
                <c:pt idx="4">
                  <c:v>89824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01-4874-9C91-B23242299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435904"/>
        <c:axId val="104436232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94528</c:v>
                </c:pt>
                <c:pt idx="1">
                  <c:v>94919</c:v>
                </c:pt>
                <c:pt idx="2">
                  <c:v>86055</c:v>
                </c:pt>
                <c:pt idx="3">
                  <c:v>90284</c:v>
                </c:pt>
                <c:pt idx="4">
                  <c:v>133792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001-4874-9C91-B23242299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37544"/>
        <c:axId val="549933000"/>
      </c:lineChart>
      <c:catAx>
        <c:axId val="10443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436232"/>
        <c:crosses val="autoZero"/>
        <c:auto val="1"/>
        <c:lblAlgn val="ctr"/>
        <c:lblOffset val="100"/>
        <c:noMultiLvlLbl val="0"/>
      </c:catAx>
      <c:valAx>
        <c:axId val="104436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435904"/>
        <c:crosses val="autoZero"/>
        <c:crossBetween val="between"/>
      </c:valAx>
      <c:valAx>
        <c:axId val="54993300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104437544"/>
        <c:crosses val="max"/>
        <c:crossBetween val="between"/>
      </c:valAx>
      <c:catAx>
        <c:axId val="104437544"/>
        <c:scaling>
          <c:orientation val="minMax"/>
        </c:scaling>
        <c:delete val="1"/>
        <c:axPos val="b"/>
        <c:majorTickMark val="out"/>
        <c:minorTickMark val="none"/>
        <c:tickLblPos val="nextTo"/>
        <c:crossAx val="549933000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3988</c:v>
                </c:pt>
                <c:pt idx="1">
                  <c:v>800</c:v>
                </c:pt>
                <c:pt idx="2">
                  <c:v>-6099</c:v>
                </c:pt>
                <c:pt idx="3">
                  <c:v>11189</c:v>
                </c:pt>
                <c:pt idx="4">
                  <c:v>20253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22-4046-92C8-0341FA99F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9855184"/>
        <c:axId val="449855512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13450</c:v>
                </c:pt>
                <c:pt idx="1">
                  <c:v>9211</c:v>
                </c:pt>
                <c:pt idx="2">
                  <c:v>-4403</c:v>
                </c:pt>
                <c:pt idx="3">
                  <c:v>14708</c:v>
                </c:pt>
                <c:pt idx="4">
                  <c:v>20253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A22-4046-92C8-0341FA99F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851248"/>
        <c:axId val="449852888"/>
      </c:lineChart>
      <c:catAx>
        <c:axId val="449855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855512"/>
        <c:crosses val="autoZero"/>
        <c:auto val="1"/>
        <c:lblAlgn val="ctr"/>
        <c:lblOffset val="100"/>
        <c:noMultiLvlLbl val="0"/>
      </c:catAx>
      <c:valAx>
        <c:axId val="449855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855184"/>
        <c:crosses val="autoZero"/>
        <c:crossBetween val="between"/>
      </c:valAx>
      <c:valAx>
        <c:axId val="44985288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9851248"/>
        <c:crosses val="max"/>
        <c:crossBetween val="between"/>
      </c:valAx>
      <c:catAx>
        <c:axId val="449851248"/>
        <c:scaling>
          <c:orientation val="minMax"/>
        </c:scaling>
        <c:delete val="1"/>
        <c:axPos val="b"/>
        <c:majorTickMark val="out"/>
        <c:minorTickMark val="none"/>
        <c:tickLblPos val="nextTo"/>
        <c:crossAx val="44985288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063-4560-ACC6-D99A2BDEC93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063-4560-ACC6-D99A2BDEC9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0.7</c:v>
                </c:pt>
                <c:pt idx="1">
                  <c:v>0.91</c:v>
                </c:pt>
                <c:pt idx="2">
                  <c:v>-0.39</c:v>
                </c:pt>
                <c:pt idx="3">
                  <c:v>0.24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63-4560-ACC6-D99A2BDEC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6000"/>
        <c:axId val="449420424"/>
      </c:lineChart>
      <c:catAx>
        <c:axId val="44942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0424"/>
        <c:crosses val="autoZero"/>
        <c:auto val="0"/>
        <c:lblAlgn val="ctr"/>
        <c:lblOffset val="100"/>
        <c:noMultiLvlLbl val="0"/>
      </c:catAx>
      <c:valAx>
        <c:axId val="449420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6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4A3-46CD-BAF9-3BBDD4CE6A95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4A3-46CD-BAF9-3BBDD4CE6A9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24A3-46CD-BAF9-3BBDD4CE6A9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-18.7</c:v>
                </c:pt>
                <c:pt idx="1">
                  <c:v>-16.350000000000001</c:v>
                </c:pt>
                <c:pt idx="2">
                  <c:v>-5.93</c:v>
                </c:pt>
                <c:pt idx="3">
                  <c:v>-6.42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4A3-46CD-BAF9-3BBDD4CE6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5672"/>
        <c:axId val="449425016"/>
      </c:lineChart>
      <c:catAx>
        <c:axId val="449425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5016"/>
        <c:crosses val="autoZero"/>
        <c:auto val="0"/>
        <c:lblAlgn val="ctr"/>
        <c:lblOffset val="100"/>
        <c:noMultiLvlLbl val="0"/>
      </c:catAx>
      <c:valAx>
        <c:axId val="4494250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56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20A-4ADD-AE90-4FEF4835D16F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20A-4ADD-AE90-4FEF4835D16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20A-4ADD-AE90-4FEF4835D16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60429</c:v>
                </c:pt>
                <c:pt idx="1">
                  <c:v>65411</c:v>
                </c:pt>
                <c:pt idx="2">
                  <c:v>62284</c:v>
                </c:pt>
                <c:pt idx="3">
                  <c:v>64014</c:v>
                </c:pt>
                <c:pt idx="4">
                  <c:v>94020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0A-4ADD-AE90-4FEF4835D1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4072"/>
        <c:axId val="364042760"/>
      </c:lineChart>
      <c:catAx>
        <c:axId val="364044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2760"/>
        <c:crosses val="autoZero"/>
        <c:auto val="0"/>
        <c:lblAlgn val="ctr"/>
        <c:lblOffset val="100"/>
        <c:noMultiLvlLbl val="0"/>
      </c:catAx>
      <c:valAx>
        <c:axId val="364042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640440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A98-43AA-B90B-8E34DC709684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A98-43AA-B90B-8E34DC70968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25979</c:v>
                </c:pt>
                <c:pt idx="1">
                  <c:v>22616</c:v>
                </c:pt>
                <c:pt idx="2">
                  <c:v>21027</c:v>
                </c:pt>
                <c:pt idx="3">
                  <c:v>26993</c:v>
                </c:pt>
                <c:pt idx="4">
                  <c:v>41368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A98-43AA-B90B-8E34DC7096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6576"/>
        <c:axId val="104319400"/>
      </c:lineChart>
      <c:catAx>
        <c:axId val="44076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19400"/>
        <c:crosses val="autoZero"/>
        <c:auto val="0"/>
        <c:lblAlgn val="ctr"/>
        <c:lblOffset val="100"/>
        <c:noMultiLvlLbl val="0"/>
      </c:catAx>
      <c:valAx>
        <c:axId val="104319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0766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52D-4F8D-85C8-8084A30D5C4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52D-4F8D-85C8-8084A30D5C4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7.0000000000000007E-2</c:v>
                </c:pt>
                <c:pt idx="1">
                  <c:v>0.05</c:v>
                </c:pt>
                <c:pt idx="2">
                  <c:v>-0.02</c:v>
                </c:pt>
                <c:pt idx="3">
                  <c:v>0.08</c:v>
                </c:pt>
                <c:pt idx="4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52D-4F8D-85C8-8084A30D5C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940640"/>
        <c:axId val="624387704"/>
      </c:lineChart>
      <c:catAx>
        <c:axId val="55394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387704"/>
        <c:crosses val="autoZero"/>
        <c:auto val="0"/>
        <c:lblAlgn val="ctr"/>
        <c:lblOffset val="100"/>
        <c:noMultiLvlLbl val="0"/>
      </c:catAx>
      <c:valAx>
        <c:axId val="624387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9406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8EE-4C39-B6A6-7123DFB03AD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8EE-4C39-B6A6-7123DFB03A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0.21</c:v>
                </c:pt>
                <c:pt idx="1">
                  <c:v>0.15</c:v>
                </c:pt>
                <c:pt idx="2">
                  <c:v>0.12</c:v>
                </c:pt>
                <c:pt idx="3">
                  <c:v>0.22</c:v>
                </c:pt>
                <c:pt idx="4">
                  <c:v>0.3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8EE-4C39-B6A6-7123DFB03A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2392"/>
        <c:axId val="449427312"/>
      </c:lineChart>
      <c:catAx>
        <c:axId val="449422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7312"/>
        <c:crosses val="autoZero"/>
        <c:auto val="0"/>
        <c:lblAlgn val="ctr"/>
        <c:lblOffset val="100"/>
        <c:noMultiLvlLbl val="0"/>
      </c:catAx>
      <c:valAx>
        <c:axId val="449427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23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155195-31E6-6335-50A7-C30275138A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EAD699-4B94-EA3E-E420-6107074D41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A53D2F-4036-D3E6-DE33-F574F7C56F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F16DBB-FC46-F2F9-2DA1-6292DEC49D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7E4B74-144D-2567-71B5-53A0993F8F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321A23D-19C9-B619-1798-492CB240E3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D3653C-67AD-4090-C3D0-09123C5F80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E9B22E-C22C-4AD2-E813-C45E4326A4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CD1BB6-805D-04DA-7FD4-D5B4D9E3EC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2CDE63-C4F0-1B75-D199-73525F46DB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890908-11C6-D32A-C98A-0DDC3A3113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5AA469-E773-47AC-E286-0DA4DEF3DE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A05DF7-8B8C-8F4A-A45B-63AABDCF58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3A95FD-0D74-B64C-1EF1-16F6F9D8EE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6646F5-5080-8411-3199-C5A38667B4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B32928-A7AE-CA50-5438-0FC25B8E86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595055-5DF6-B1E6-AEE0-309B45768B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EF3866-18C5-20FD-7446-2D8EAA2BAE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D958E6-04B4-3177-CE92-2940A9B656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09B564-2A61-8A97-1562-FA5B78177C4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C8FC57AD-E1A5-6B00-90A6-F366B02D22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5E24355B-AD73-51C2-F705-221AEF698B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6B8B26F-5601-8CB7-DA6A-F2057C1AD7F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A57D2CFA-073E-420F-F4B1-CC98B96E82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01A64DD8-0118-9EC2-A291-D66C3A7159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D0AE5A9A-C6C9-78C2-84FF-8ECFAC296C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EC30BF75-51A2-CF39-7A76-7E4033570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BDC41D3A-2F78-40D2-286E-7C5C71DC30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467A0346-E6C7-4B50-F7F3-21132B0C04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E5DD503E-F83F-9E1E-43A9-B8D76B7327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EEDFD638-4DD1-7CB2-C2ED-9702D9A24F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1011C655-3DA8-7D6B-92A4-4811271E59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822F8D46-F5D1-9A2A-C4FE-4B6CC8AA58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A68D9F-66CC-1F21-5D14-6FB3FA9AD0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00C2AA-57A1-FCD3-91DE-DE848422B8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7B3D9D-5BAF-83F0-0B51-46D5BABB96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3527DE-7E08-AC74-CA63-36EF346028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6FD759-3317-5551-E063-E1E8570A3B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4D448C4-91FB-21D2-3D64-A3890C2F842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96120-F6AF-41AA-B4C6-4BCB63F75AE2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>
        <v>372</v>
      </c>
      <c r="D6">
        <v>372</v>
      </c>
      <c r="E6">
        <v>372</v>
      </c>
      <c r="F6">
        <v>372</v>
      </c>
      <c r="G6">
        <v>372</v>
      </c>
      <c r="H6" t="s">
        <v>1</v>
      </c>
    </row>
    <row r="7" spans="1:8" x14ac:dyDescent="0.25">
      <c r="B7" t="s">
        <v>6</v>
      </c>
      <c r="C7">
        <v>372</v>
      </c>
      <c r="D7">
        <v>374</v>
      </c>
      <c r="E7">
        <v>374</v>
      </c>
      <c r="F7">
        <v>374</v>
      </c>
      <c r="G7">
        <v>372</v>
      </c>
      <c r="H7" t="s">
        <v>1</v>
      </c>
    </row>
    <row r="8" spans="1:8" x14ac:dyDescent="0.25">
      <c r="A8" t="s">
        <v>90</v>
      </c>
      <c r="B8" t="s">
        <v>7</v>
      </c>
      <c r="C8" s="2">
        <v>63136</v>
      </c>
      <c r="D8" s="2">
        <v>61925</v>
      </c>
      <c r="E8" s="2">
        <v>54263</v>
      </c>
      <c r="F8" s="2">
        <v>61906</v>
      </c>
      <c r="G8" s="2">
        <v>65011</v>
      </c>
      <c r="H8" t="s">
        <v>1</v>
      </c>
    </row>
    <row r="9" spans="1:8" x14ac:dyDescent="0.25">
      <c r="B9" t="s">
        <v>8</v>
      </c>
      <c r="C9" s="2">
        <v>63136</v>
      </c>
      <c r="D9" s="2">
        <v>61925</v>
      </c>
      <c r="E9" s="2">
        <v>54263</v>
      </c>
      <c r="F9" s="2">
        <v>61906</v>
      </c>
      <c r="G9" s="2">
        <v>65011</v>
      </c>
      <c r="H9" t="s">
        <v>1</v>
      </c>
    </row>
    <row r="10" spans="1:8" x14ac:dyDescent="0.25">
      <c r="B10" t="s">
        <v>9</v>
      </c>
      <c r="C10" s="2">
        <v>63508</v>
      </c>
      <c r="D10" s="2">
        <v>62299</v>
      </c>
      <c r="E10" s="2">
        <v>54637</v>
      </c>
      <c r="F10" s="2">
        <v>62280</v>
      </c>
      <c r="G10" s="2">
        <v>65383</v>
      </c>
      <c r="H10" t="s">
        <v>1</v>
      </c>
    </row>
    <row r="11" spans="1:8" x14ac:dyDescent="0.25">
      <c r="A11" t="s">
        <v>10</v>
      </c>
      <c r="B11" t="s">
        <v>10</v>
      </c>
      <c r="C11" s="2">
        <v>15957</v>
      </c>
      <c r="D11" s="2">
        <v>15227</v>
      </c>
      <c r="E11" s="2">
        <v>17112</v>
      </c>
      <c r="F11" s="2">
        <v>15138</v>
      </c>
      <c r="G11" s="2">
        <v>17321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 s="2">
        <v>26789</v>
      </c>
      <c r="D13" s="2">
        <v>34719</v>
      </c>
      <c r="E13" s="2">
        <v>36722</v>
      </c>
      <c r="F13" s="2">
        <v>37960</v>
      </c>
      <c r="G13" s="2">
        <v>36205</v>
      </c>
      <c r="H13" t="s">
        <v>1</v>
      </c>
    </row>
    <row r="14" spans="1:8" x14ac:dyDescent="0.25">
      <c r="A14" t="s">
        <v>91</v>
      </c>
      <c r="B14" t="s">
        <v>13</v>
      </c>
      <c r="C14" s="2">
        <v>4078</v>
      </c>
      <c r="D14" s="2">
        <v>4484</v>
      </c>
      <c r="E14" s="2">
        <v>2885</v>
      </c>
      <c r="F14" s="2">
        <v>2215</v>
      </c>
      <c r="G14" s="2">
        <v>4435</v>
      </c>
      <c r="H14" t="s">
        <v>1</v>
      </c>
    </row>
    <row r="15" spans="1:8" x14ac:dyDescent="0.25">
      <c r="A15" t="s">
        <v>92</v>
      </c>
      <c r="B15" t="s">
        <v>14</v>
      </c>
      <c r="C15" s="2">
        <v>4858</v>
      </c>
      <c r="D15" s="2">
        <v>6077</v>
      </c>
      <c r="E15" s="2">
        <v>6116</v>
      </c>
      <c r="F15" s="2">
        <v>5848</v>
      </c>
      <c r="G15" s="2">
        <v>6157</v>
      </c>
      <c r="H15" t="s">
        <v>1</v>
      </c>
    </row>
    <row r="16" spans="1:8" x14ac:dyDescent="0.25">
      <c r="A16" t="s">
        <v>93</v>
      </c>
      <c r="B16" t="s">
        <v>15</v>
      </c>
      <c r="C16" s="2">
        <v>2361</v>
      </c>
      <c r="D16" s="2">
        <v>2596</v>
      </c>
      <c r="E16" s="2">
        <v>2828</v>
      </c>
      <c r="F16" s="2">
        <v>3132</v>
      </c>
      <c r="G16" s="2">
        <v>3386</v>
      </c>
      <c r="H16" t="s">
        <v>1</v>
      </c>
    </row>
    <row r="17" spans="1:8" x14ac:dyDescent="0.25">
      <c r="B17" t="s">
        <v>16</v>
      </c>
      <c r="C17" s="2">
        <v>38086</v>
      </c>
      <c r="D17" s="2">
        <v>47876</v>
      </c>
      <c r="E17" s="2">
        <v>48551</v>
      </c>
      <c r="F17" s="2">
        <v>49155</v>
      </c>
      <c r="G17" s="2">
        <v>50183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21951</v>
      </c>
      <c r="D19" s="2">
        <v>22982</v>
      </c>
      <c r="E19" s="2">
        <v>22021</v>
      </c>
      <c r="F19" s="2">
        <v>11698</v>
      </c>
      <c r="G19" s="2">
        <v>16904</v>
      </c>
      <c r="H19" t="s">
        <v>1</v>
      </c>
    </row>
    <row r="20" spans="1:8" x14ac:dyDescent="0.25">
      <c r="A20" t="s">
        <v>92</v>
      </c>
      <c r="B20" t="s">
        <v>19</v>
      </c>
      <c r="C20" s="2">
        <v>17843</v>
      </c>
      <c r="D20" s="2">
        <v>17352</v>
      </c>
      <c r="E20" s="2">
        <v>8027</v>
      </c>
      <c r="F20" s="2">
        <v>7892</v>
      </c>
      <c r="G20" s="2">
        <v>10538</v>
      </c>
      <c r="H20" t="s">
        <v>1</v>
      </c>
    </row>
    <row r="21" spans="1:8" x14ac:dyDescent="0.25">
      <c r="A21" t="s">
        <v>92</v>
      </c>
      <c r="B21" t="s">
        <v>20</v>
      </c>
      <c r="C21" s="2">
        <v>27043</v>
      </c>
      <c r="D21" s="2">
        <v>35920</v>
      </c>
      <c r="E21" s="2">
        <v>32919</v>
      </c>
      <c r="F21" s="2">
        <v>39181</v>
      </c>
      <c r="G21" s="2">
        <v>37854</v>
      </c>
      <c r="H21" t="s">
        <v>1</v>
      </c>
    </row>
    <row r="22" spans="1:8" x14ac:dyDescent="0.25">
      <c r="A22" t="s">
        <v>93</v>
      </c>
      <c r="B22" t="s">
        <v>21</v>
      </c>
      <c r="C22">
        <v>410</v>
      </c>
      <c r="D22">
        <v>387</v>
      </c>
      <c r="E22">
        <v>355</v>
      </c>
      <c r="F22">
        <v>353</v>
      </c>
      <c r="G22">
        <v>417</v>
      </c>
      <c r="H22" t="s">
        <v>1</v>
      </c>
    </row>
    <row r="23" spans="1:8" x14ac:dyDescent="0.25">
      <c r="B23" t="s">
        <v>22</v>
      </c>
      <c r="C23" s="2">
        <v>67247</v>
      </c>
      <c r="D23" s="2">
        <v>76641</v>
      </c>
      <c r="E23" s="2">
        <v>63322</v>
      </c>
      <c r="F23" s="2">
        <v>59124</v>
      </c>
      <c r="G23" s="2">
        <v>65713</v>
      </c>
      <c r="H23" t="s">
        <v>1</v>
      </c>
    </row>
    <row r="24" spans="1:8" x14ac:dyDescent="0.25">
      <c r="B24" t="s">
        <v>23</v>
      </c>
      <c r="C24" s="2">
        <v>184798</v>
      </c>
      <c r="D24" s="2">
        <v>202043</v>
      </c>
      <c r="E24" s="2">
        <v>183622</v>
      </c>
      <c r="F24" s="2">
        <v>185697</v>
      </c>
      <c r="G24" s="2">
        <v>198600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79330</v>
      </c>
      <c r="D27" s="2">
        <v>95515</v>
      </c>
      <c r="E27" s="2">
        <v>88022</v>
      </c>
      <c r="F27" s="2">
        <v>89429</v>
      </c>
      <c r="G27" s="2">
        <v>109345</v>
      </c>
      <c r="H27" t="s">
        <v>1</v>
      </c>
    </row>
    <row r="28" spans="1:8" x14ac:dyDescent="0.25">
      <c r="A28" t="s">
        <v>29</v>
      </c>
      <c r="B28" t="s">
        <v>27</v>
      </c>
      <c r="C28">
        <v>949</v>
      </c>
      <c r="D28" s="2">
        <v>882</v>
      </c>
      <c r="E28">
        <v>882</v>
      </c>
      <c r="F28">
        <v>1041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16140</v>
      </c>
      <c r="D29" s="2">
        <v>22236</v>
      </c>
      <c r="E29" s="2">
        <v>16837</v>
      </c>
      <c r="F29" s="2">
        <v>13880</v>
      </c>
      <c r="G29" s="2">
        <v>0</v>
      </c>
      <c r="H29" t="s">
        <v>1</v>
      </c>
    </row>
    <row r="30" spans="1:8" x14ac:dyDescent="0.25">
      <c r="B30" t="s">
        <v>29</v>
      </c>
      <c r="C30" s="2">
        <v>112334</v>
      </c>
      <c r="D30" s="2">
        <v>121356</v>
      </c>
      <c r="E30" s="2">
        <v>107489</v>
      </c>
      <c r="F30" s="2">
        <v>106784</v>
      </c>
      <c r="G30" s="2">
        <v>109345</v>
      </c>
      <c r="H30" t="s">
        <v>1</v>
      </c>
    </row>
    <row r="31" spans="1:8" x14ac:dyDescent="0.25">
      <c r="A31" t="s">
        <v>94</v>
      </c>
      <c r="B31" t="s">
        <v>30</v>
      </c>
      <c r="C31">
        <v>164</v>
      </c>
      <c r="D31">
        <v>4891</v>
      </c>
      <c r="E31">
        <v>95</v>
      </c>
      <c r="F31" s="2">
        <v>156</v>
      </c>
      <c r="G31">
        <v>151</v>
      </c>
      <c r="H31" t="s">
        <v>1</v>
      </c>
    </row>
    <row r="32" spans="1:8" x14ac:dyDescent="0.25">
      <c r="A32" t="s">
        <v>95</v>
      </c>
      <c r="B32" t="s">
        <v>31</v>
      </c>
      <c r="C32" s="2">
        <v>4934</v>
      </c>
      <c r="D32" s="2">
        <v>3475</v>
      </c>
      <c r="E32" s="2">
        <v>6889</v>
      </c>
      <c r="F32" s="2">
        <v>5860</v>
      </c>
      <c r="G32" s="2">
        <v>5085</v>
      </c>
      <c r="H32" t="s">
        <v>1</v>
      </c>
    </row>
    <row r="33" spans="1:8" x14ac:dyDescent="0.25">
      <c r="A33" t="s">
        <v>95</v>
      </c>
      <c r="B33" t="s">
        <v>32</v>
      </c>
      <c r="C33" s="2">
        <v>23</v>
      </c>
      <c r="D33" s="2">
        <v>20</v>
      </c>
      <c r="E33">
        <v>17</v>
      </c>
      <c r="F33">
        <v>5069</v>
      </c>
      <c r="G33">
        <v>3166</v>
      </c>
      <c r="H33" t="s">
        <v>1</v>
      </c>
    </row>
    <row r="34" spans="1:8" x14ac:dyDescent="0.25">
      <c r="A34" t="s">
        <v>95</v>
      </c>
      <c r="B34" t="s">
        <v>33</v>
      </c>
      <c r="C34" s="2">
        <v>12229</v>
      </c>
      <c r="D34" s="2">
        <v>12473</v>
      </c>
      <c r="E34" s="2">
        <v>11612</v>
      </c>
      <c r="F34" s="2">
        <v>11636</v>
      </c>
      <c r="G34" s="2">
        <v>12278</v>
      </c>
      <c r="H34" t="s">
        <v>1</v>
      </c>
    </row>
    <row r="35" spans="1:8" x14ac:dyDescent="0.25">
      <c r="B35" t="s">
        <v>34</v>
      </c>
      <c r="C35" s="2">
        <v>129684</v>
      </c>
      <c r="D35" s="2">
        <v>142215</v>
      </c>
      <c r="E35" s="2">
        <v>126102</v>
      </c>
      <c r="F35" s="2">
        <v>129505</v>
      </c>
      <c r="G35" s="2">
        <v>130025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28536</v>
      </c>
      <c r="D37" s="2">
        <v>28174</v>
      </c>
      <c r="E37" s="2">
        <v>24658</v>
      </c>
      <c r="F37" s="2">
        <v>16504</v>
      </c>
      <c r="G37" s="2">
        <v>17140</v>
      </c>
      <c r="H37" t="s">
        <v>1</v>
      </c>
    </row>
    <row r="38" spans="1:8" x14ac:dyDescent="0.25">
      <c r="A38" t="s">
        <v>96</v>
      </c>
      <c r="B38" t="s">
        <v>37</v>
      </c>
      <c r="C38" s="2">
        <v>11967</v>
      </c>
      <c r="D38" s="2">
        <v>13198</v>
      </c>
      <c r="E38" s="2">
        <v>11335</v>
      </c>
      <c r="F38" s="2">
        <v>9923</v>
      </c>
      <c r="G38" s="2">
        <v>14313</v>
      </c>
      <c r="H38" t="s">
        <v>1</v>
      </c>
    </row>
    <row r="39" spans="1:8" x14ac:dyDescent="0.25">
      <c r="A39" t="s">
        <v>96</v>
      </c>
      <c r="B39" t="s">
        <v>38</v>
      </c>
      <c r="C39" s="2">
        <v>3969</v>
      </c>
      <c r="D39" s="2">
        <v>3982</v>
      </c>
      <c r="E39" s="2">
        <v>2697</v>
      </c>
      <c r="F39" s="2">
        <v>3491</v>
      </c>
      <c r="G39" s="2">
        <v>4946</v>
      </c>
      <c r="H39" t="s">
        <v>1</v>
      </c>
    </row>
    <row r="40" spans="1:8" x14ac:dyDescent="0.25">
      <c r="A40" t="s">
        <v>96</v>
      </c>
      <c r="B40" t="s">
        <v>39</v>
      </c>
      <c r="C40" s="2">
        <v>5216</v>
      </c>
      <c r="D40" s="2">
        <v>8369</v>
      </c>
      <c r="E40" s="2">
        <v>12502</v>
      </c>
      <c r="F40" s="2">
        <v>16629</v>
      </c>
      <c r="G40" s="2">
        <v>15592</v>
      </c>
      <c r="H40" t="s">
        <v>1</v>
      </c>
    </row>
    <row r="41" spans="1:8" x14ac:dyDescent="0.25">
      <c r="A41" t="s">
        <v>95</v>
      </c>
      <c r="B41" t="s">
        <v>40</v>
      </c>
      <c r="C41" s="2">
        <v>82</v>
      </c>
      <c r="D41" s="2">
        <v>82</v>
      </c>
      <c r="E41">
        <v>85</v>
      </c>
      <c r="F41">
        <v>2019</v>
      </c>
      <c r="G41">
        <v>2304</v>
      </c>
      <c r="H41" t="s">
        <v>1</v>
      </c>
    </row>
    <row r="42" spans="1:8" x14ac:dyDescent="0.25">
      <c r="A42" t="s">
        <v>95</v>
      </c>
      <c r="B42" t="s">
        <v>41</v>
      </c>
      <c r="C42" s="2">
        <v>5344</v>
      </c>
      <c r="D42" s="2">
        <v>6023</v>
      </c>
      <c r="E42" s="2">
        <v>6243</v>
      </c>
      <c r="F42" s="2">
        <v>7626</v>
      </c>
      <c r="G42" s="2">
        <v>14280</v>
      </c>
      <c r="H42" t="s">
        <v>1</v>
      </c>
    </row>
    <row r="43" spans="1:8" x14ac:dyDescent="0.25">
      <c r="B43" t="s">
        <v>42</v>
      </c>
      <c r="C43" s="2">
        <v>55114</v>
      </c>
      <c r="D43" s="2">
        <v>59828</v>
      </c>
      <c r="E43" s="2">
        <v>57520</v>
      </c>
      <c r="F43" s="2">
        <v>56192</v>
      </c>
      <c r="G43" s="2">
        <v>68575</v>
      </c>
      <c r="H43" t="s">
        <v>1</v>
      </c>
    </row>
    <row r="44" spans="1:8" x14ac:dyDescent="0.25">
      <c r="B44" t="s">
        <v>43</v>
      </c>
      <c r="C44" s="2">
        <v>184798</v>
      </c>
      <c r="D44" s="2">
        <v>202043</v>
      </c>
      <c r="E44" s="2">
        <v>183622</v>
      </c>
      <c r="F44" s="2">
        <v>185697</v>
      </c>
      <c r="G44" s="2">
        <v>198600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60831</v>
      </c>
      <c r="D47" s="2">
        <v>68024</v>
      </c>
      <c r="E47" s="2">
        <v>31278</v>
      </c>
      <c r="F47" s="2">
        <v>33352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68.52</v>
      </c>
      <c r="D49">
        <v>68.52</v>
      </c>
      <c r="E49">
        <v>68.52</v>
      </c>
      <c r="F49">
        <v>68.52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149</v>
      </c>
      <c r="D51">
        <v>104</v>
      </c>
      <c r="E51">
        <v>81</v>
      </c>
      <c r="F51">
        <v>143</v>
      </c>
      <c r="G51">
        <v>0</v>
      </c>
      <c r="H51" t="s">
        <v>1</v>
      </c>
    </row>
    <row r="52" spans="2:8" x14ac:dyDescent="0.25">
      <c r="B52" t="s">
        <v>51</v>
      </c>
      <c r="C52">
        <v>20</v>
      </c>
      <c r="D52">
        <v>4792</v>
      </c>
      <c r="E52">
        <v>19</v>
      </c>
      <c r="F52" s="2">
        <v>18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21092</v>
      </c>
      <c r="D54" s="2">
        <v>21791</v>
      </c>
      <c r="E54" s="2">
        <v>17061</v>
      </c>
      <c r="F54" s="2">
        <v>10186</v>
      </c>
      <c r="G54" s="2">
        <v>0</v>
      </c>
      <c r="H54" t="s">
        <v>1</v>
      </c>
    </row>
    <row r="55" spans="2:8" x14ac:dyDescent="0.25">
      <c r="B55" t="s">
        <v>54</v>
      </c>
      <c r="C55">
        <v>7444</v>
      </c>
      <c r="D55" s="2">
        <v>6383</v>
      </c>
      <c r="E55" s="2">
        <v>7597</v>
      </c>
      <c r="F55" s="2">
        <v>6318</v>
      </c>
      <c r="G55" s="2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0E473-4C4D-4F5E-8194-33D3749BA569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3" width="13.140625" bestFit="1" customWidth="1"/>
    <col min="4" max="4" width="11.5703125" bestFit="1" customWidth="1"/>
    <col min="5" max="5" width="12.5703125" bestFit="1" customWidth="1"/>
    <col min="6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151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9462</v>
      </c>
      <c r="D6" s="16">
        <f>'Income Statement'!D28</f>
        <v>8411</v>
      </c>
      <c r="E6" s="16">
        <f>'Income Statement'!E28</f>
        <v>1696</v>
      </c>
      <c r="F6" s="16">
        <f>'Income Statement'!F28</f>
        <v>3519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480.35714285714283</v>
      </c>
      <c r="D7" s="16">
        <f>'Income Statement'!D35</f>
        <v>484.78947368421052</v>
      </c>
      <c r="E7" s="16">
        <f>'Income Statement'!E35</f>
        <v>244.61111111111111</v>
      </c>
      <c r="F7" s="16">
        <f>'Income Statement'!F35</f>
        <v>474.45161290322579</v>
      </c>
      <c r="G7" s="16">
        <f>'Income Statement'!G35</f>
        <v>397.11764705882354</v>
      </c>
    </row>
    <row r="8" spans="2:7" ht="18.75" x14ac:dyDescent="0.25">
      <c r="B8" s="15" t="s">
        <v>148</v>
      </c>
      <c r="C8" s="16">
        <f>ROUND(C6/C7, 2)</f>
        <v>19.7</v>
      </c>
      <c r="D8" s="16">
        <f t="shared" ref="D8:G8" si="0">ROUND(D6/D7, 2)</f>
        <v>17.350000000000001</v>
      </c>
      <c r="E8" s="16">
        <f t="shared" si="0"/>
        <v>6.93</v>
      </c>
      <c r="F8" s="16">
        <f t="shared" si="0"/>
        <v>7.42</v>
      </c>
      <c r="G8" s="16">
        <f t="shared" si="0"/>
        <v>0</v>
      </c>
    </row>
    <row r="9" spans="2:7" ht="18.75" x14ac:dyDescent="0.25">
      <c r="B9" s="15" t="str">
        <f>'Income Statement'!B27</f>
        <v>Reported Net Profit(PAT)</v>
      </c>
      <c r="C9" s="16">
        <f>'Income Statement'!C27</f>
        <v>13450</v>
      </c>
      <c r="D9" s="16">
        <f>'Income Statement'!D27</f>
        <v>9211</v>
      </c>
      <c r="E9" s="16">
        <f>'Income Statement'!E27</f>
        <v>-4403</v>
      </c>
      <c r="F9" s="16">
        <f>'Income Statement'!F27</f>
        <v>14708</v>
      </c>
      <c r="G9" s="16">
        <f>'Income Statement'!G27</f>
        <v>20253</v>
      </c>
    </row>
    <row r="10" spans="2:7" ht="18.75" x14ac:dyDescent="0.25">
      <c r="B10" s="15" t="str">
        <f>'Income Statement'!B35</f>
        <v>Total Shares Outstanding(cr)</v>
      </c>
      <c r="C10" s="16">
        <f>'Income Statement'!C35</f>
        <v>480.35714285714283</v>
      </c>
      <c r="D10" s="16">
        <f>'Income Statement'!D35</f>
        <v>484.78947368421052</v>
      </c>
      <c r="E10" s="16">
        <f>'Income Statement'!E35</f>
        <v>244.61111111111111</v>
      </c>
      <c r="F10" s="16">
        <f>'Income Statement'!F35</f>
        <v>474.45161290322579</v>
      </c>
      <c r="G10" s="16">
        <f>'Income Statement'!G35</f>
        <v>397.11764705882354</v>
      </c>
    </row>
    <row r="11" spans="2:7" ht="18.75" x14ac:dyDescent="0.25">
      <c r="B11" s="15" t="s">
        <v>146</v>
      </c>
      <c r="C11" s="16">
        <f>C9/C10</f>
        <v>28</v>
      </c>
      <c r="D11" s="16">
        <f t="shared" ref="D11:G11" si="1">D9/D10</f>
        <v>19</v>
      </c>
      <c r="E11" s="16">
        <f t="shared" si="1"/>
        <v>-18</v>
      </c>
      <c r="F11" s="16">
        <f t="shared" si="1"/>
        <v>31</v>
      </c>
      <c r="G11" s="16">
        <f t="shared" si="1"/>
        <v>51</v>
      </c>
    </row>
    <row r="12" spans="2:7" ht="18.75" x14ac:dyDescent="0.25">
      <c r="B12" s="17" t="s">
        <v>152</v>
      </c>
      <c r="C12" s="17">
        <f>ROUND(C8/C11, 2)</f>
        <v>0.7</v>
      </c>
      <c r="D12" s="17">
        <f t="shared" ref="D12:G12" si="2">ROUND(D8/D11, 2)</f>
        <v>0.91</v>
      </c>
      <c r="E12" s="17">
        <f t="shared" si="2"/>
        <v>-0.39</v>
      </c>
      <c r="F12" s="17">
        <f t="shared" si="2"/>
        <v>0.24</v>
      </c>
      <c r="G12" s="17">
        <f t="shared" si="2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239E1-E0D0-4ADF-A13C-F553B86C5B16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4" width="15.140625" bestFit="1" customWidth="1"/>
    <col min="5" max="6" width="13.5703125" bestFit="1" customWidth="1"/>
    <col min="7" max="7" width="12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153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9462</v>
      </c>
      <c r="D6" s="16">
        <f>'Income Statement'!D28</f>
        <v>8411</v>
      </c>
      <c r="E6" s="16">
        <f>'Income Statement'!E28</f>
        <v>1696</v>
      </c>
      <c r="F6" s="16">
        <f>'Income Statement'!F28</f>
        <v>3519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480.35714285714283</v>
      </c>
      <c r="D7" s="16">
        <f>'Income Statement'!D35</f>
        <v>484.78947368421052</v>
      </c>
      <c r="E7" s="16">
        <f>'Income Statement'!E35</f>
        <v>244.61111111111111</v>
      </c>
      <c r="F7" s="16">
        <f>'Income Statement'!F35</f>
        <v>474.45161290322579</v>
      </c>
      <c r="G7" s="16">
        <f>'Income Statement'!G35</f>
        <v>397.11764705882354</v>
      </c>
    </row>
    <row r="8" spans="2:7" ht="18.75" x14ac:dyDescent="0.25">
      <c r="B8" s="15" t="s">
        <v>154</v>
      </c>
      <c r="C8" s="16">
        <f>ROUND(C6/C7, 2)</f>
        <v>19.7</v>
      </c>
      <c r="D8" s="16">
        <f t="shared" ref="D8:G8" si="0">ROUND(D6/D7, 2)</f>
        <v>17.350000000000001</v>
      </c>
      <c r="E8" s="16">
        <f t="shared" si="0"/>
        <v>6.93</v>
      </c>
      <c r="F8" s="16">
        <f t="shared" si="0"/>
        <v>7.42</v>
      </c>
      <c r="G8" s="16">
        <f t="shared" si="0"/>
        <v>0</v>
      </c>
    </row>
    <row r="9" spans="2:7" ht="18.75" x14ac:dyDescent="0.25">
      <c r="B9" s="17" t="s">
        <v>155</v>
      </c>
      <c r="C9" s="27">
        <f>1-C8</f>
        <v>-18.7</v>
      </c>
      <c r="D9" s="27">
        <f t="shared" ref="D9:G9" si="1">1-D8</f>
        <v>-16.350000000000001</v>
      </c>
      <c r="E9" s="27">
        <f t="shared" si="1"/>
        <v>-5.93</v>
      </c>
      <c r="F9" s="27">
        <f t="shared" si="1"/>
        <v>-6.42</v>
      </c>
      <c r="G9" s="27">
        <f t="shared" si="1"/>
        <v>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226BDA-D44E-4875-88B7-145774544CA4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156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92011</v>
      </c>
      <c r="D6" s="16">
        <f>'Income Statement'!D5</f>
        <v>90901</v>
      </c>
      <c r="E6" s="16">
        <f>'Income Statement'!E5</f>
        <v>83545</v>
      </c>
      <c r="F6" s="16">
        <f>'Income Statement'!F5</f>
        <v>86863</v>
      </c>
      <c r="G6" s="16">
        <f>'Income Statement'!G5</f>
        <v>131192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31582</v>
      </c>
      <c r="D7" s="16">
        <f>'Income Statement'!D11</f>
        <v>25490</v>
      </c>
      <c r="E7" s="16">
        <f>'Income Statement'!E11</f>
        <v>21261</v>
      </c>
      <c r="F7" s="16">
        <f>'Income Statement'!F11</f>
        <v>22849</v>
      </c>
      <c r="G7" s="16">
        <f>'Income Statement'!G11</f>
        <v>37172</v>
      </c>
    </row>
    <row r="8" spans="2:7" ht="18.75" x14ac:dyDescent="0.25">
      <c r="B8" s="17" t="s">
        <v>157</v>
      </c>
      <c r="C8" s="28">
        <f>ROUND(C6- C7, 2)</f>
        <v>60429</v>
      </c>
      <c r="D8" s="28">
        <f t="shared" ref="D8:G8" si="0">ROUND(D6- D7, 2)</f>
        <v>65411</v>
      </c>
      <c r="E8" s="28">
        <f t="shared" si="0"/>
        <v>62284</v>
      </c>
      <c r="F8" s="28">
        <f t="shared" si="0"/>
        <v>64014</v>
      </c>
      <c r="G8" s="28">
        <f t="shared" si="0"/>
        <v>94020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6DF447-6924-4FEE-BA52-408BE527FFCA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158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92011</v>
      </c>
      <c r="D6" s="16">
        <f>'Income Statement'!D5</f>
        <v>90901</v>
      </c>
      <c r="E6" s="16">
        <f>'Income Statement'!E5</f>
        <v>83545</v>
      </c>
      <c r="F6" s="16">
        <f>'Income Statement'!F5</f>
        <v>86863</v>
      </c>
      <c r="G6" s="16">
        <f>'Income Statement'!G5</f>
        <v>131192</v>
      </c>
    </row>
    <row r="7" spans="2:7" ht="18.75" x14ac:dyDescent="0.25">
      <c r="B7" s="15" t="str">
        <f>'Income Statement'!B15</f>
        <v>Total Expenditure</v>
      </c>
      <c r="C7" s="16">
        <f>'Income Statement'!C15</f>
        <v>66032</v>
      </c>
      <c r="D7" s="16">
        <f>'Income Statement'!D15</f>
        <v>68285</v>
      </c>
      <c r="E7" s="16">
        <f>'Income Statement'!E15</f>
        <v>62518</v>
      </c>
      <c r="F7" s="16">
        <f>'Income Statement'!F15</f>
        <v>59870</v>
      </c>
      <c r="G7" s="16">
        <f>'Income Statement'!G15</f>
        <v>89824</v>
      </c>
    </row>
    <row r="8" spans="2:7" ht="18.75" x14ac:dyDescent="0.25">
      <c r="B8" s="17" t="s">
        <v>159</v>
      </c>
      <c r="C8" s="28">
        <f>ROUND(C6- C7, 2)</f>
        <v>25979</v>
      </c>
      <c r="D8" s="28">
        <f t="shared" ref="D8:G8" si="0">ROUND(D6- D7, 2)</f>
        <v>22616</v>
      </c>
      <c r="E8" s="28">
        <f t="shared" si="0"/>
        <v>21027</v>
      </c>
      <c r="F8" s="28">
        <f t="shared" si="0"/>
        <v>26993</v>
      </c>
      <c r="G8" s="28">
        <f t="shared" si="0"/>
        <v>41368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83111-4455-4297-BCA9-1484F1F1E47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160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13450</v>
      </c>
      <c r="D6" s="16">
        <f>'Income Statement'!D27</f>
        <v>9211</v>
      </c>
      <c r="E6" s="16">
        <f>'Income Statement'!E27</f>
        <v>-4403</v>
      </c>
      <c r="F6" s="16">
        <f>'Income Statement'!F27</f>
        <v>14708</v>
      </c>
      <c r="G6" s="16">
        <f>'Income Statement'!G27</f>
        <v>20253</v>
      </c>
    </row>
    <row r="7" spans="2:7" ht="18.75" x14ac:dyDescent="0.25">
      <c r="B7" s="15" t="str">
        <f>'Balance Sheet'!B40</f>
        <v>Total Assets</v>
      </c>
      <c r="C7" s="16">
        <f>'Balance Sheet'!C40</f>
        <v>184798</v>
      </c>
      <c r="D7" s="16">
        <f>'Balance Sheet'!D40</f>
        <v>204052</v>
      </c>
      <c r="E7" s="16">
        <f>'Balance Sheet'!E40</f>
        <v>187194</v>
      </c>
      <c r="F7" s="16">
        <f>'Balance Sheet'!F40</f>
        <v>192815</v>
      </c>
      <c r="G7" s="16">
        <f>'Balance Sheet'!G40</f>
        <v>222868</v>
      </c>
    </row>
    <row r="8" spans="2:7" ht="18.75" x14ac:dyDescent="0.25">
      <c r="B8" s="17" t="s">
        <v>161</v>
      </c>
      <c r="C8" s="27">
        <f>ROUND(C6/ C7, 2)</f>
        <v>7.0000000000000007E-2</v>
      </c>
      <c r="D8" s="27">
        <f t="shared" ref="D8:G8" si="0">ROUND(D6/ D7, 2)</f>
        <v>0.05</v>
      </c>
      <c r="E8" s="27">
        <f t="shared" si="0"/>
        <v>-0.02</v>
      </c>
      <c r="F8" s="27">
        <f t="shared" si="0"/>
        <v>0.08</v>
      </c>
      <c r="G8" s="27">
        <f t="shared" si="0"/>
        <v>0.09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FB04F-1558-4993-A032-58338479A654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22213</v>
      </c>
      <c r="D6" s="16">
        <f>'Income Statement'!D19</f>
        <v>18442</v>
      </c>
      <c r="E6" s="16">
        <f>'Income Statement'!E19</f>
        <v>14444</v>
      </c>
      <c r="F6" s="16">
        <f>'Income Statement'!F19</f>
        <v>22776</v>
      </c>
      <c r="G6" s="16">
        <f>'Income Statement'!G19</f>
        <v>35073</v>
      </c>
    </row>
    <row r="7" spans="2:7" ht="18.75" x14ac:dyDescent="0.25">
      <c r="B7" s="15" t="str">
        <f>'Balance Sheet'!B13</f>
        <v>Total Debt</v>
      </c>
      <c r="C7" s="16">
        <f>'Balance Sheet'!C13</f>
        <v>52818</v>
      </c>
      <c r="D7" s="16">
        <f>'Balance Sheet'!D13</f>
        <v>62185</v>
      </c>
      <c r="E7" s="16">
        <f>'Balance Sheet'!E13</f>
        <v>61628</v>
      </c>
      <c r="F7" s="16">
        <f>'Balance Sheet'!F13</f>
        <v>51873</v>
      </c>
      <c r="G7" s="16">
        <f>'Balance Sheet'!G13</f>
        <v>57544</v>
      </c>
    </row>
    <row r="8" spans="2:7" ht="18.75" x14ac:dyDescent="0.25">
      <c r="B8" s="15" t="str">
        <f>'Balance Sheet'!B9</f>
        <v>Net Worth</v>
      </c>
      <c r="C8" s="16">
        <f>'Balance Sheet'!C9</f>
        <v>63508</v>
      </c>
      <c r="D8" s="16">
        <f>'Balance Sheet'!D9</f>
        <v>64308</v>
      </c>
      <c r="E8" s="16">
        <f>'Balance Sheet'!E9</f>
        <v>58209</v>
      </c>
      <c r="F8" s="16">
        <f>'Balance Sheet'!F9</f>
        <v>69398</v>
      </c>
      <c r="G8" s="16">
        <f>'Balance Sheet'!G9</f>
        <v>89651</v>
      </c>
    </row>
    <row r="9" spans="2:7" ht="18.75" x14ac:dyDescent="0.25">
      <c r="B9" s="17" t="s">
        <v>163</v>
      </c>
      <c r="C9" s="27">
        <f>ROUND(C6/ (C7+ C7), 2)</f>
        <v>0.21</v>
      </c>
      <c r="D9" s="27">
        <f t="shared" ref="D9:G9" si="0">ROUND(D6/ (D7+ D7), 2)</f>
        <v>0.15</v>
      </c>
      <c r="E9" s="27">
        <f t="shared" si="0"/>
        <v>0.12</v>
      </c>
      <c r="F9" s="27">
        <f t="shared" si="0"/>
        <v>0.22</v>
      </c>
      <c r="G9" s="27">
        <f t="shared" si="0"/>
        <v>0.3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ACDA3-BE71-424B-9D79-FBD75ECFD0A2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164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13450</v>
      </c>
      <c r="D6" s="16">
        <f>'Income Statement'!D27</f>
        <v>9211</v>
      </c>
      <c r="E6" s="16">
        <f>'Income Statement'!E27</f>
        <v>-4403</v>
      </c>
      <c r="F6" s="16">
        <f>'Income Statement'!F27</f>
        <v>14708</v>
      </c>
      <c r="G6" s="16">
        <f>'Income Statement'!G27</f>
        <v>20253</v>
      </c>
    </row>
    <row r="7" spans="2:7" ht="18.75" x14ac:dyDescent="0.25">
      <c r="B7" s="15" t="str">
        <f>'Balance Sheet'!B9</f>
        <v>Net Worth</v>
      </c>
      <c r="C7" s="16">
        <f>'Balance Sheet'!C9</f>
        <v>63508</v>
      </c>
      <c r="D7" s="16">
        <f>'Balance Sheet'!D9</f>
        <v>64308</v>
      </c>
      <c r="E7" s="16">
        <f>'Balance Sheet'!E9</f>
        <v>58209</v>
      </c>
      <c r="F7" s="16">
        <f>'Balance Sheet'!F9</f>
        <v>69398</v>
      </c>
      <c r="G7" s="16">
        <f>'Balance Sheet'!G9</f>
        <v>89651</v>
      </c>
    </row>
    <row r="8" spans="2:7" ht="18.75" x14ac:dyDescent="0.25">
      <c r="B8" s="17" t="s">
        <v>165</v>
      </c>
      <c r="C8" s="27">
        <f>ROUND(C6/ (C7+ C7), 2)</f>
        <v>0.11</v>
      </c>
      <c r="D8" s="27">
        <f t="shared" ref="D8:G8" si="0">ROUND(D6/ (D7+ D7), 2)</f>
        <v>7.0000000000000007E-2</v>
      </c>
      <c r="E8" s="27">
        <f t="shared" si="0"/>
        <v>-0.04</v>
      </c>
      <c r="F8" s="27">
        <f t="shared" si="0"/>
        <v>0.11</v>
      </c>
      <c r="G8" s="27">
        <f t="shared" si="0"/>
        <v>0.11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B82E6-1F26-4075-B2B2-26ACD190D50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166</v>
      </c>
      <c r="C5" s="14"/>
      <c r="D5" s="14"/>
      <c r="E5" s="14"/>
      <c r="F5" s="14"/>
      <c r="G5" s="14"/>
    </row>
    <row r="6" spans="2:7" ht="18.75" x14ac:dyDescent="0.25">
      <c r="B6" s="15" t="str">
        <f>'Balance Sheet'!B13</f>
        <v>Total Debt</v>
      </c>
      <c r="C6" s="16">
        <f>'Balance Sheet'!C13</f>
        <v>52818</v>
      </c>
      <c r="D6" s="16">
        <f>'Balance Sheet'!D13</f>
        <v>62185</v>
      </c>
      <c r="E6" s="16">
        <f>'Balance Sheet'!E13</f>
        <v>61628</v>
      </c>
      <c r="F6" s="16">
        <f>'Balance Sheet'!F13</f>
        <v>51873</v>
      </c>
      <c r="G6" s="16">
        <f>'Balance Sheet'!G13</f>
        <v>57544</v>
      </c>
    </row>
    <row r="7" spans="2:7" ht="18.75" x14ac:dyDescent="0.25">
      <c r="B7" s="15" t="str">
        <f>'Balance Sheet'!B9</f>
        <v>Net Worth</v>
      </c>
      <c r="C7" s="16">
        <f>'Balance Sheet'!C9</f>
        <v>63508</v>
      </c>
      <c r="D7" s="16">
        <f>'Balance Sheet'!D9</f>
        <v>64308</v>
      </c>
      <c r="E7" s="16">
        <f>'Balance Sheet'!E9</f>
        <v>58209</v>
      </c>
      <c r="F7" s="16">
        <f>'Balance Sheet'!F9</f>
        <v>69398</v>
      </c>
      <c r="G7" s="16">
        <f>'Balance Sheet'!G9</f>
        <v>89651</v>
      </c>
    </row>
    <row r="8" spans="2:7" ht="18.75" x14ac:dyDescent="0.25">
      <c r="B8" s="17" t="s">
        <v>167</v>
      </c>
      <c r="C8" s="17">
        <f>ROUND(C6/ C7, 2)</f>
        <v>0.83</v>
      </c>
      <c r="D8" s="17">
        <f t="shared" ref="D8:G8" si="0">ROUND(D6/ D7, 2)</f>
        <v>0.97</v>
      </c>
      <c r="E8" s="17">
        <f t="shared" si="0"/>
        <v>1.06</v>
      </c>
      <c r="F8" s="17">
        <f t="shared" si="0"/>
        <v>0.75</v>
      </c>
      <c r="G8" s="17">
        <f t="shared" si="0"/>
        <v>0.64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31A77-DE22-4076-98CA-1DCA4882453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168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43764</v>
      </c>
      <c r="D6" s="16">
        <f>'Balance Sheet'!D39</f>
        <v>60546</v>
      </c>
      <c r="E6" s="16">
        <f>'Balance Sheet'!E39</f>
        <v>73985</v>
      </c>
      <c r="F6" s="16">
        <f>'Balance Sheet'!F39</f>
        <v>96728</v>
      </c>
      <c r="G6" s="16">
        <f>'Balance Sheet'!G39</f>
        <v>130050</v>
      </c>
    </row>
    <row r="7" spans="2:7" ht="18.75" x14ac:dyDescent="0.25">
      <c r="B7" s="15" t="str">
        <f>'Balance Sheet'!B19</f>
        <v>Total Current Liabilities</v>
      </c>
      <c r="C7" s="16">
        <f>'Balance Sheet'!C19</f>
        <v>52515</v>
      </c>
      <c r="D7" s="16">
        <f>'Balance Sheet'!D19</f>
        <v>62332</v>
      </c>
      <c r="E7" s="16">
        <f>'Balance Sheet'!E19</f>
        <v>50245</v>
      </c>
      <c r="F7" s="16">
        <f>'Balance Sheet'!F19</f>
        <v>56406</v>
      </c>
      <c r="G7" s="16">
        <f>'Balance Sheet'!G19</f>
        <v>58352</v>
      </c>
    </row>
    <row r="8" spans="2:7" ht="18.75" x14ac:dyDescent="0.25">
      <c r="B8" s="17" t="s">
        <v>169</v>
      </c>
      <c r="C8" s="17">
        <f>ROUND(C6/ C7, 2)</f>
        <v>0.83</v>
      </c>
      <c r="D8" s="17">
        <f t="shared" ref="D8:G8" si="0">ROUND(D6/ D7, 2)</f>
        <v>0.97</v>
      </c>
      <c r="E8" s="17">
        <f t="shared" si="0"/>
        <v>1.47</v>
      </c>
      <c r="F8" s="17">
        <f t="shared" si="0"/>
        <v>1.71</v>
      </c>
      <c r="G8" s="17">
        <f t="shared" si="0"/>
        <v>2.23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F2198-D483-494A-8CB0-84C01B71FBFB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170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43764</v>
      </c>
      <c r="D6" s="16">
        <f>'Balance Sheet'!D39</f>
        <v>60546</v>
      </c>
      <c r="E6" s="16">
        <f>'Balance Sheet'!E39</f>
        <v>73985</v>
      </c>
      <c r="F6" s="16">
        <f>'Balance Sheet'!F39</f>
        <v>96728</v>
      </c>
      <c r="G6" s="16">
        <f>'Balance Sheet'!G39</f>
        <v>130050</v>
      </c>
    </row>
    <row r="7" spans="2:7" ht="18.75" x14ac:dyDescent="0.25">
      <c r="B7" s="15" t="str">
        <f>'Balance Sheet'!B36</f>
        <v>Inventories</v>
      </c>
      <c r="C7" s="16">
        <f>'Balance Sheet'!C36</f>
        <v>11967</v>
      </c>
      <c r="D7" s="16">
        <f>'Balance Sheet'!D36</f>
        <v>13198</v>
      </c>
      <c r="E7" s="16">
        <f>'Balance Sheet'!E36</f>
        <v>11335</v>
      </c>
      <c r="F7" s="16">
        <f>'Balance Sheet'!F36</f>
        <v>9923</v>
      </c>
      <c r="G7" s="16">
        <f>'Balance Sheet'!G36</f>
        <v>14313</v>
      </c>
    </row>
    <row r="8" spans="2:7" ht="18.75" x14ac:dyDescent="0.25">
      <c r="B8" s="15" t="str">
        <f>'Balance Sheet'!B19</f>
        <v>Total Current Liabilities</v>
      </c>
      <c r="C8" s="16">
        <f>'Balance Sheet'!C19</f>
        <v>52515</v>
      </c>
      <c r="D8" s="16">
        <f>'Balance Sheet'!D19</f>
        <v>62332</v>
      </c>
      <c r="E8" s="16">
        <f>'Balance Sheet'!E19</f>
        <v>50245</v>
      </c>
      <c r="F8" s="16">
        <f>'Balance Sheet'!F19</f>
        <v>56406</v>
      </c>
      <c r="G8" s="16">
        <f>'Balance Sheet'!G19</f>
        <v>58352</v>
      </c>
    </row>
    <row r="9" spans="2:7" ht="18.75" x14ac:dyDescent="0.25">
      <c r="B9" s="17" t="s">
        <v>171</v>
      </c>
      <c r="C9" s="17">
        <f>ROUND((C6-C7)/ C8, 2)</f>
        <v>0.61</v>
      </c>
      <c r="D9" s="17">
        <f t="shared" ref="D9:G9" si="0">ROUND((D6-D7)/ D8, 2)</f>
        <v>0.76</v>
      </c>
      <c r="E9" s="17">
        <f t="shared" si="0"/>
        <v>1.25</v>
      </c>
      <c r="F9" s="17">
        <f t="shared" si="0"/>
        <v>1.54</v>
      </c>
      <c r="G9" s="17">
        <f t="shared" si="0"/>
        <v>1.98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D11DC-C3A8-4871-A6B3-B056B85B2539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92011</v>
      </c>
      <c r="D5" s="2">
        <v>90901</v>
      </c>
      <c r="E5" s="2">
        <v>83545</v>
      </c>
      <c r="F5" s="2">
        <v>86863</v>
      </c>
      <c r="G5" s="2">
        <v>131192</v>
      </c>
      <c r="H5" t="s">
        <v>1</v>
      </c>
    </row>
    <row r="6" spans="1:8" x14ac:dyDescent="0.25">
      <c r="A6" t="s">
        <v>98</v>
      </c>
      <c r="B6" t="s">
        <v>98</v>
      </c>
      <c r="C6">
        <v>1057</v>
      </c>
      <c r="D6">
        <v>0</v>
      </c>
      <c r="E6">
        <v>0</v>
      </c>
      <c r="F6">
        <v>0</v>
      </c>
      <c r="G6" s="2">
        <v>0</v>
      </c>
      <c r="H6" t="s">
        <v>1</v>
      </c>
    </row>
    <row r="7" spans="1:8" x14ac:dyDescent="0.25">
      <c r="B7" t="s">
        <v>57</v>
      </c>
      <c r="C7" s="2">
        <v>90954</v>
      </c>
      <c r="D7" s="2">
        <v>90901</v>
      </c>
      <c r="E7" s="2">
        <v>83545</v>
      </c>
      <c r="F7" s="2">
        <v>86863</v>
      </c>
      <c r="G7" s="2">
        <v>131192</v>
      </c>
      <c r="H7" t="s">
        <v>1</v>
      </c>
    </row>
    <row r="8" spans="1:8" x14ac:dyDescent="0.25">
      <c r="B8" t="s">
        <v>58</v>
      </c>
      <c r="C8" s="2">
        <v>91866</v>
      </c>
      <c r="D8" s="2">
        <v>92048</v>
      </c>
      <c r="E8" s="2">
        <v>84447</v>
      </c>
      <c r="F8" s="2">
        <v>88021</v>
      </c>
      <c r="G8" s="2">
        <v>132732</v>
      </c>
      <c r="H8" t="s">
        <v>1</v>
      </c>
    </row>
    <row r="9" spans="1:8" x14ac:dyDescent="0.25">
      <c r="A9" t="s">
        <v>59</v>
      </c>
      <c r="B9" t="s">
        <v>59</v>
      </c>
      <c r="C9" s="2">
        <v>3574</v>
      </c>
      <c r="D9" s="2">
        <v>4018</v>
      </c>
      <c r="E9" s="2">
        <v>2510</v>
      </c>
      <c r="F9" s="2">
        <v>3421</v>
      </c>
      <c r="G9" s="2">
        <v>2600</v>
      </c>
      <c r="H9" t="s">
        <v>1</v>
      </c>
    </row>
    <row r="10" spans="1:8" x14ac:dyDescent="0.25">
      <c r="B10" t="s">
        <v>60</v>
      </c>
      <c r="C10" s="2">
        <v>95440</v>
      </c>
      <c r="D10" s="2">
        <v>96066</v>
      </c>
      <c r="E10" s="2">
        <v>86957</v>
      </c>
      <c r="F10" s="2">
        <v>91442</v>
      </c>
      <c r="G10" s="2">
        <v>135332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 s="2">
        <v>31582</v>
      </c>
      <c r="D12" s="2">
        <v>25490</v>
      </c>
      <c r="E12" s="2">
        <v>21261</v>
      </c>
      <c r="F12" s="2">
        <v>22849</v>
      </c>
      <c r="G12" s="2">
        <v>37172</v>
      </c>
      <c r="H12" t="s">
        <v>1</v>
      </c>
    </row>
    <row r="13" spans="1:8" x14ac:dyDescent="0.25">
      <c r="B13" t="s">
        <v>63</v>
      </c>
      <c r="C13">
        <v>220</v>
      </c>
      <c r="D13">
        <v>588</v>
      </c>
      <c r="E13">
        <v>225</v>
      </c>
      <c r="F13">
        <v>41</v>
      </c>
      <c r="G13">
        <v>133</v>
      </c>
      <c r="H13" t="s">
        <v>1</v>
      </c>
    </row>
    <row r="14" spans="1:8" x14ac:dyDescent="0.25">
      <c r="A14" t="s">
        <v>99</v>
      </c>
      <c r="B14" t="s">
        <v>64</v>
      </c>
      <c r="C14">
        <v>14026</v>
      </c>
      <c r="D14" s="2">
        <v>18144</v>
      </c>
      <c r="E14" s="2">
        <v>16606</v>
      </c>
      <c r="F14" s="2">
        <v>13674</v>
      </c>
      <c r="G14" s="2">
        <v>0</v>
      </c>
      <c r="H14" t="s">
        <v>1</v>
      </c>
    </row>
    <row r="15" spans="1:8" x14ac:dyDescent="0.25">
      <c r="B15" t="s">
        <v>65</v>
      </c>
      <c r="C15" s="2">
        <v>450</v>
      </c>
      <c r="D15">
        <v>72</v>
      </c>
      <c r="E15" s="2">
        <v>1017</v>
      </c>
      <c r="F15">
        <v>792</v>
      </c>
      <c r="G15">
        <v>-2049</v>
      </c>
      <c r="H15" t="s">
        <v>1</v>
      </c>
    </row>
    <row r="16" spans="1:8" x14ac:dyDescent="0.25">
      <c r="A16" t="s">
        <v>99</v>
      </c>
      <c r="B16" t="s">
        <v>66</v>
      </c>
      <c r="C16" s="2">
        <v>2496</v>
      </c>
      <c r="D16" s="2">
        <v>3023</v>
      </c>
      <c r="E16" s="2">
        <v>2672</v>
      </c>
      <c r="F16" s="2">
        <v>2861</v>
      </c>
      <c r="G16" s="2">
        <v>2811</v>
      </c>
      <c r="H16" t="s">
        <v>1</v>
      </c>
    </row>
    <row r="17" spans="1:8" x14ac:dyDescent="0.25">
      <c r="A17" t="s">
        <v>100</v>
      </c>
      <c r="B17" t="s">
        <v>67</v>
      </c>
      <c r="C17" s="2">
        <v>5783</v>
      </c>
      <c r="D17" s="2">
        <v>5689</v>
      </c>
      <c r="E17" s="2">
        <v>4977</v>
      </c>
      <c r="F17" s="2">
        <v>5210</v>
      </c>
      <c r="G17" s="2">
        <v>4797</v>
      </c>
      <c r="H17" t="s">
        <v>1</v>
      </c>
    </row>
    <row r="18" spans="1:8" x14ac:dyDescent="0.25">
      <c r="A18" t="s">
        <v>101</v>
      </c>
      <c r="B18" t="s">
        <v>68</v>
      </c>
      <c r="C18" s="2">
        <v>6283</v>
      </c>
      <c r="D18" s="2">
        <v>8192</v>
      </c>
      <c r="E18" s="2">
        <v>9093</v>
      </c>
      <c r="F18" s="2">
        <v>7638</v>
      </c>
      <c r="G18" s="2">
        <v>8895</v>
      </c>
      <c r="H18" t="s">
        <v>1</v>
      </c>
    </row>
    <row r="19" spans="1:8" x14ac:dyDescent="0.25">
      <c r="A19" t="s">
        <v>99</v>
      </c>
      <c r="B19" t="s">
        <v>69</v>
      </c>
      <c r="C19" s="2">
        <v>17928</v>
      </c>
      <c r="D19" s="2">
        <v>21628</v>
      </c>
      <c r="E19" s="2">
        <v>21979</v>
      </c>
      <c r="F19" s="2">
        <v>20486</v>
      </c>
      <c r="G19" s="2">
        <v>49841</v>
      </c>
      <c r="H19" t="s">
        <v>1</v>
      </c>
    </row>
    <row r="20" spans="1:8" x14ac:dyDescent="0.25">
      <c r="B20" t="s">
        <v>70</v>
      </c>
      <c r="C20" s="2">
        <v>78768</v>
      </c>
      <c r="D20" s="2">
        <v>82826</v>
      </c>
      <c r="E20" s="2">
        <v>77830</v>
      </c>
      <c r="F20" s="2">
        <v>73551</v>
      </c>
      <c r="G20" s="2">
        <v>101600</v>
      </c>
      <c r="H20" t="s">
        <v>1</v>
      </c>
    </row>
    <row r="21" spans="1:8" x14ac:dyDescent="0.25">
      <c r="B21" t="s">
        <v>71</v>
      </c>
      <c r="C21" s="2">
        <v>16672</v>
      </c>
      <c r="D21" s="2">
        <v>13240</v>
      </c>
      <c r="E21" s="2">
        <v>9127</v>
      </c>
      <c r="F21" s="2">
        <v>17891</v>
      </c>
      <c r="G21" s="2">
        <v>33732</v>
      </c>
      <c r="H21" t="s">
        <v>1</v>
      </c>
    </row>
    <row r="22" spans="1:8" x14ac:dyDescent="0.25">
      <c r="A22" t="s">
        <v>102</v>
      </c>
      <c r="B22" t="s">
        <v>72</v>
      </c>
      <c r="C22">
        <v>2897</v>
      </c>
      <c r="D22">
        <v>320</v>
      </c>
      <c r="E22" s="2">
        <v>-17386</v>
      </c>
      <c r="F22">
        <v>-678</v>
      </c>
      <c r="G22" s="2">
        <v>-768</v>
      </c>
      <c r="H22" t="s">
        <v>1</v>
      </c>
    </row>
    <row r="23" spans="1:8" x14ac:dyDescent="0.25">
      <c r="B23" t="s">
        <v>73</v>
      </c>
      <c r="C23" s="2">
        <v>19569</v>
      </c>
      <c r="D23" s="2">
        <v>13560</v>
      </c>
      <c r="E23" s="2">
        <v>-8259</v>
      </c>
      <c r="F23" s="2">
        <v>17213</v>
      </c>
      <c r="G23" s="2">
        <v>32964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2867</v>
      </c>
      <c r="D25" s="2">
        <v>2677</v>
      </c>
      <c r="E25" s="2">
        <v>1788</v>
      </c>
      <c r="F25" s="2">
        <v>2066</v>
      </c>
      <c r="G25" s="2">
        <v>9255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3010</v>
      </c>
      <c r="D27">
        <v>1185</v>
      </c>
      <c r="E27" s="2">
        <v>1217</v>
      </c>
      <c r="F27" s="2">
        <v>268</v>
      </c>
      <c r="G27" s="2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5877</v>
      </c>
      <c r="D29" s="2">
        <v>3862</v>
      </c>
      <c r="E29" s="2">
        <v>-3516</v>
      </c>
      <c r="F29" s="2">
        <v>2180</v>
      </c>
      <c r="G29" s="2">
        <v>9255</v>
      </c>
      <c r="H29" t="s">
        <v>1</v>
      </c>
    </row>
    <row r="30" spans="1:8" x14ac:dyDescent="0.25">
      <c r="B30" t="s">
        <v>80</v>
      </c>
      <c r="C30" s="2">
        <v>13692</v>
      </c>
      <c r="D30" s="2">
        <v>9698</v>
      </c>
      <c r="E30" s="2">
        <v>-4743</v>
      </c>
      <c r="F30" s="2">
        <v>15033</v>
      </c>
      <c r="G30" s="2">
        <v>23709</v>
      </c>
      <c r="H30" t="s">
        <v>1</v>
      </c>
    </row>
    <row r="31" spans="1:8" x14ac:dyDescent="0.25">
      <c r="B31" t="s">
        <v>81</v>
      </c>
      <c r="C31" s="2">
        <v>13692</v>
      </c>
      <c r="D31" s="2">
        <v>9698</v>
      </c>
      <c r="E31" s="2">
        <v>-4743</v>
      </c>
      <c r="F31" s="2">
        <v>15033</v>
      </c>
      <c r="G31" s="2">
        <v>23709</v>
      </c>
      <c r="H31" t="s">
        <v>1</v>
      </c>
    </row>
    <row r="32" spans="1:8" x14ac:dyDescent="0.25">
      <c r="B32" t="s">
        <v>82</v>
      </c>
      <c r="C32" s="2">
        <v>13692</v>
      </c>
      <c r="D32" s="2">
        <v>9698</v>
      </c>
      <c r="E32" s="2">
        <v>-4743</v>
      </c>
      <c r="F32" s="2">
        <v>15033</v>
      </c>
      <c r="G32" s="2">
        <v>23709</v>
      </c>
      <c r="H32" t="s">
        <v>1</v>
      </c>
    </row>
    <row r="33" spans="1:8" x14ac:dyDescent="0.25">
      <c r="B33" t="s">
        <v>10</v>
      </c>
      <c r="C33" s="2">
        <v>-3350</v>
      </c>
      <c r="D33" s="2">
        <v>-2633</v>
      </c>
      <c r="E33" s="2">
        <v>-1920</v>
      </c>
      <c r="F33" s="2">
        <v>-3430</v>
      </c>
      <c r="G33" s="2">
        <v>-4908</v>
      </c>
      <c r="H33" t="s">
        <v>1</v>
      </c>
    </row>
    <row r="34" spans="1:8" x14ac:dyDescent="0.25">
      <c r="B34" t="s">
        <v>83</v>
      </c>
      <c r="C34" s="2">
        <v>10342</v>
      </c>
      <c r="D34" s="2">
        <v>7065</v>
      </c>
      <c r="E34" s="2">
        <v>-6664</v>
      </c>
      <c r="F34" s="2">
        <v>11602</v>
      </c>
      <c r="G34" s="2">
        <v>18802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28</v>
      </c>
      <c r="D37">
        <v>19</v>
      </c>
      <c r="E37">
        <v>-18</v>
      </c>
      <c r="F37">
        <v>31</v>
      </c>
      <c r="G37">
        <v>51</v>
      </c>
      <c r="H37" t="s">
        <v>1</v>
      </c>
    </row>
    <row r="38" spans="1:8" x14ac:dyDescent="0.25">
      <c r="B38" t="s">
        <v>86</v>
      </c>
      <c r="C38">
        <v>28</v>
      </c>
      <c r="D38">
        <v>19</v>
      </c>
      <c r="E38">
        <v>-18</v>
      </c>
      <c r="F38">
        <v>31</v>
      </c>
      <c r="G38">
        <v>50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9462</v>
      </c>
      <c r="D40" s="2">
        <v>8411</v>
      </c>
      <c r="E40" s="2">
        <v>1696</v>
      </c>
      <c r="F40" s="2">
        <v>3519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BFCED-76DB-4F13-A5B9-624B1455632C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22213</v>
      </c>
      <c r="D6" s="16">
        <f>'Income Statement'!D19</f>
        <v>18442</v>
      </c>
      <c r="E6" s="16">
        <f>'Income Statement'!E19</f>
        <v>14444</v>
      </c>
      <c r="F6" s="16">
        <f>'Income Statement'!F19</f>
        <v>22776</v>
      </c>
      <c r="G6" s="16">
        <f>'Income Statement'!G19</f>
        <v>35073</v>
      </c>
    </row>
    <row r="7" spans="2:7" ht="18.75" x14ac:dyDescent="0.25">
      <c r="B7" s="15" t="str">
        <f>'Income Statement'!B20</f>
        <v>Finance Costs</v>
      </c>
      <c r="C7" s="16">
        <f>'Income Statement'!C20</f>
        <v>5783</v>
      </c>
      <c r="D7" s="16">
        <f>'Income Statement'!D20</f>
        <v>5689</v>
      </c>
      <c r="E7" s="16">
        <f>'Income Statement'!E20</f>
        <v>4977</v>
      </c>
      <c r="F7" s="16">
        <f>'Income Statement'!F20</f>
        <v>5210</v>
      </c>
      <c r="G7" s="16">
        <f>'Income Statement'!G20</f>
        <v>4797</v>
      </c>
    </row>
    <row r="8" spans="2:7" ht="18.75" x14ac:dyDescent="0.25">
      <c r="B8" s="17" t="s">
        <v>173</v>
      </c>
      <c r="C8" s="17">
        <f>ROUND(C6/C7, 2)</f>
        <v>3.84</v>
      </c>
      <c r="D8" s="17">
        <f t="shared" ref="D8:G8" si="0">ROUND(D6/D7, 2)</f>
        <v>3.24</v>
      </c>
      <c r="E8" s="17">
        <f t="shared" si="0"/>
        <v>2.9</v>
      </c>
      <c r="F8" s="17">
        <f t="shared" si="0"/>
        <v>4.37</v>
      </c>
      <c r="G8" s="17">
        <f t="shared" si="0"/>
        <v>7.31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79561-53CB-410F-95D4-F47A9DA1F1B2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174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31582</v>
      </c>
      <c r="D6" s="16">
        <f>'Income Statement'!D11</f>
        <v>25490</v>
      </c>
      <c r="E6" s="16">
        <f>'Income Statement'!E11</f>
        <v>21261</v>
      </c>
      <c r="F6" s="16">
        <f>'Income Statement'!F11</f>
        <v>22849</v>
      </c>
      <c r="G6" s="16">
        <f>'Income Statement'!G11</f>
        <v>37172</v>
      </c>
    </row>
    <row r="7" spans="2:7" ht="18.75" x14ac:dyDescent="0.25">
      <c r="B7" s="15" t="str">
        <f>'Income Statement'!B7</f>
        <v>Net Sales</v>
      </c>
      <c r="C7" s="16">
        <f>'Income Statement'!C7</f>
        <v>90954</v>
      </c>
      <c r="D7" s="16">
        <f>'Income Statement'!D7</f>
        <v>90901</v>
      </c>
      <c r="E7" s="16">
        <f>'Income Statement'!E7</f>
        <v>83545</v>
      </c>
      <c r="F7" s="16">
        <f>'Income Statement'!F7</f>
        <v>86863</v>
      </c>
      <c r="G7" s="16">
        <f>'Income Statement'!G7</f>
        <v>131192</v>
      </c>
    </row>
    <row r="8" spans="2:7" ht="18.75" x14ac:dyDescent="0.25">
      <c r="B8" s="17" t="s">
        <v>175</v>
      </c>
      <c r="C8" s="17">
        <f>ROUND(C6/C7, 2)</f>
        <v>0.35</v>
      </c>
      <c r="D8" s="17">
        <f t="shared" ref="D8:G8" si="0">ROUND(D6/D7, 2)</f>
        <v>0.28000000000000003</v>
      </c>
      <c r="E8" s="17">
        <f t="shared" si="0"/>
        <v>0.25</v>
      </c>
      <c r="F8" s="17">
        <f t="shared" si="0"/>
        <v>0.26</v>
      </c>
      <c r="G8" s="17">
        <f t="shared" si="0"/>
        <v>0.28000000000000003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913B7-8934-4710-8767-3E686216848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176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5216</v>
      </c>
      <c r="D6" s="16">
        <f>'Balance Sheet'!D38</f>
        <v>21293</v>
      </c>
      <c r="E6" s="16">
        <f>'Balance Sheet'!E38</f>
        <v>35107</v>
      </c>
      <c r="F6" s="16">
        <f>'Balance Sheet'!F38</f>
        <v>51104</v>
      </c>
      <c r="G6" s="16">
        <f>'Balance Sheet'!G38</f>
        <v>73678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31582</v>
      </c>
      <c r="D7" s="16">
        <f>'Income Statement'!D11</f>
        <v>25490</v>
      </c>
      <c r="E7" s="16">
        <f>'Income Statement'!E11</f>
        <v>21261</v>
      </c>
      <c r="F7" s="16">
        <f>'Income Statement'!F11</f>
        <v>22849</v>
      </c>
      <c r="G7" s="16">
        <f>'Income Statement'!G11</f>
        <v>37172</v>
      </c>
    </row>
    <row r="8" spans="2:7" ht="18.75" x14ac:dyDescent="0.25">
      <c r="B8" s="17" t="s">
        <v>177</v>
      </c>
      <c r="C8" s="17">
        <f>ROUND(C6/C7*365, 2)</f>
        <v>60.28</v>
      </c>
      <c r="D8" s="17">
        <f t="shared" ref="D8:G8" si="0">ROUND(D6/D7*365, 2)</f>
        <v>304.89999999999998</v>
      </c>
      <c r="E8" s="17">
        <f t="shared" si="0"/>
        <v>602.70000000000005</v>
      </c>
      <c r="F8" s="17">
        <f t="shared" si="0"/>
        <v>816.36</v>
      </c>
      <c r="G8" s="17">
        <f t="shared" si="0"/>
        <v>723.46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578E3-5CE5-4787-81C8-524F1BA93E5E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1.5703125" bestFit="1" customWidth="1"/>
    <col min="4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178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5216</v>
      </c>
      <c r="D6" s="16">
        <f>'Balance Sheet'!D38</f>
        <v>21293</v>
      </c>
      <c r="E6" s="16">
        <f>'Balance Sheet'!E38</f>
        <v>35107</v>
      </c>
      <c r="F6" s="16">
        <f>'Balance Sheet'!F38</f>
        <v>51104</v>
      </c>
      <c r="G6" s="16">
        <f>'Balance Sheet'!G38</f>
        <v>73678</v>
      </c>
    </row>
    <row r="7" spans="2:7" ht="18.75" x14ac:dyDescent="0.25">
      <c r="B7" s="15" t="s">
        <v>179</v>
      </c>
      <c r="C7" s="16">
        <v>365</v>
      </c>
      <c r="D7" s="16">
        <v>365</v>
      </c>
      <c r="E7" s="16">
        <v>365</v>
      </c>
      <c r="F7" s="16">
        <v>365</v>
      </c>
      <c r="G7" s="16">
        <v>365</v>
      </c>
    </row>
    <row r="8" spans="2:7" ht="18.75" x14ac:dyDescent="0.25">
      <c r="B8" s="17" t="s">
        <v>180</v>
      </c>
      <c r="C8" s="17">
        <f>ROUND(C6/C7*365, 2)</f>
        <v>5216</v>
      </c>
      <c r="D8" s="17">
        <f t="shared" ref="D8:G8" si="0">ROUND(D6/D7*365, 2)</f>
        <v>21293</v>
      </c>
      <c r="E8" s="17">
        <f t="shared" si="0"/>
        <v>35107</v>
      </c>
      <c r="F8" s="17">
        <f t="shared" si="0"/>
        <v>51104</v>
      </c>
      <c r="G8" s="17">
        <f t="shared" si="0"/>
        <v>73678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A24722-531E-4C91-9B37-BA1F0A86032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92011</v>
      </c>
      <c r="D6" s="16">
        <f>'Income Statement'!D5</f>
        <v>90901</v>
      </c>
      <c r="E6" s="16">
        <f>'Income Statement'!E5</f>
        <v>83545</v>
      </c>
      <c r="F6" s="16">
        <f>'Income Statement'!F5</f>
        <v>86863</v>
      </c>
      <c r="G6" s="16">
        <f>'Income Statement'!G5</f>
        <v>131192</v>
      </c>
    </row>
    <row r="7" spans="2:7" ht="18.75" x14ac:dyDescent="0.25">
      <c r="B7" s="15" t="str">
        <f>'Balance Sheet'!B40</f>
        <v>Total Assets</v>
      </c>
      <c r="C7" s="16">
        <f>'Balance Sheet'!C40</f>
        <v>184798</v>
      </c>
      <c r="D7" s="16">
        <f>'Balance Sheet'!D40</f>
        <v>204052</v>
      </c>
      <c r="E7" s="16">
        <f>'Balance Sheet'!E40</f>
        <v>187194</v>
      </c>
      <c r="F7" s="16">
        <f>'Balance Sheet'!F40</f>
        <v>192815</v>
      </c>
      <c r="G7" s="16">
        <f>'Balance Sheet'!G40</f>
        <v>222868</v>
      </c>
    </row>
    <row r="8" spans="2:7" ht="18.75" x14ac:dyDescent="0.25">
      <c r="B8" s="17" t="s">
        <v>182</v>
      </c>
      <c r="C8" s="17">
        <f>ROUND(C6/C7, 2)</f>
        <v>0.5</v>
      </c>
      <c r="D8" s="17">
        <f t="shared" ref="D8:G8" si="0">ROUND(D6/D7, 2)</f>
        <v>0.45</v>
      </c>
      <c r="E8" s="17">
        <f t="shared" si="0"/>
        <v>0.45</v>
      </c>
      <c r="F8" s="17">
        <f t="shared" si="0"/>
        <v>0.45</v>
      </c>
      <c r="G8" s="17">
        <f t="shared" si="0"/>
        <v>0.59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99400-49E6-4833-B1D8-5BDDB47FB6D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183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92011</v>
      </c>
      <c r="D6" s="16">
        <f>'Income Statement'!D5</f>
        <v>90901</v>
      </c>
      <c r="E6" s="16">
        <f>'Income Statement'!E5</f>
        <v>83545</v>
      </c>
      <c r="F6" s="16">
        <f>'Income Statement'!F5</f>
        <v>86863</v>
      </c>
      <c r="G6" s="16">
        <f>'Income Statement'!G5</f>
        <v>131192</v>
      </c>
    </row>
    <row r="7" spans="2:7" ht="18.75" x14ac:dyDescent="0.25">
      <c r="B7" s="15" t="str">
        <f>'Balance Sheet'!B36</f>
        <v>Inventories</v>
      </c>
      <c r="C7" s="16">
        <f>'Balance Sheet'!C36</f>
        <v>11967</v>
      </c>
      <c r="D7" s="16">
        <f>'Balance Sheet'!D36</f>
        <v>13198</v>
      </c>
      <c r="E7" s="16">
        <f>'Balance Sheet'!E36</f>
        <v>11335</v>
      </c>
      <c r="F7" s="16">
        <f>'Balance Sheet'!F36</f>
        <v>9923</v>
      </c>
      <c r="G7" s="16">
        <f>'Balance Sheet'!G36</f>
        <v>14313</v>
      </c>
    </row>
    <row r="8" spans="2:7" ht="18.75" x14ac:dyDescent="0.25">
      <c r="B8" s="17" t="s">
        <v>184</v>
      </c>
      <c r="C8" s="17">
        <f>ROUND(C6/C7, 2)</f>
        <v>7.69</v>
      </c>
      <c r="D8" s="17">
        <f t="shared" ref="D8:G8" si="0">ROUND(D6/D7, 2)</f>
        <v>6.89</v>
      </c>
      <c r="E8" s="17">
        <f t="shared" si="0"/>
        <v>7.37</v>
      </c>
      <c r="F8" s="17">
        <f t="shared" si="0"/>
        <v>8.75</v>
      </c>
      <c r="G8" s="17">
        <f t="shared" si="0"/>
        <v>9.17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5781A-64AF-4589-BDC9-4C9A89580DE4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92011</v>
      </c>
      <c r="D6" s="16">
        <f>'Income Statement'!D5</f>
        <v>90901</v>
      </c>
      <c r="E6" s="16">
        <f>'Income Statement'!E5</f>
        <v>83545</v>
      </c>
      <c r="F6" s="16">
        <f>'Income Statement'!F5</f>
        <v>86863</v>
      </c>
      <c r="G6" s="16">
        <f>'Income Statement'!G5</f>
        <v>131192</v>
      </c>
    </row>
    <row r="7" spans="2:7" ht="18.75" x14ac:dyDescent="0.25">
      <c r="B7" s="15" t="str">
        <f>'Balance Sheet'!B37</f>
        <v>Trade Receivables</v>
      </c>
      <c r="C7" s="16">
        <f>'Balance Sheet'!C37</f>
        <v>3969</v>
      </c>
      <c r="D7" s="16">
        <f>'Balance Sheet'!D37</f>
        <v>3982</v>
      </c>
      <c r="E7" s="16">
        <f>'Balance Sheet'!E37</f>
        <v>2697</v>
      </c>
      <c r="F7" s="16">
        <f>'Balance Sheet'!F37</f>
        <v>3491</v>
      </c>
      <c r="G7" s="16">
        <f>'Balance Sheet'!G37</f>
        <v>4946</v>
      </c>
    </row>
    <row r="8" spans="2:7" ht="18.75" x14ac:dyDescent="0.25">
      <c r="B8" s="17" t="s">
        <v>186</v>
      </c>
      <c r="C8" s="17">
        <f>ROUND(C6/C7, 2)</f>
        <v>23.18</v>
      </c>
      <c r="D8" s="17">
        <f t="shared" ref="D8:G8" si="0">ROUND(D6/D7, 2)</f>
        <v>22.83</v>
      </c>
      <c r="E8" s="17">
        <f t="shared" si="0"/>
        <v>30.98</v>
      </c>
      <c r="F8" s="17">
        <f t="shared" si="0"/>
        <v>24.88</v>
      </c>
      <c r="G8" s="17">
        <f t="shared" si="0"/>
        <v>26.52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003C6-8AE8-4506-97AD-E91D88612FD5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92011</v>
      </c>
      <c r="D6" s="16">
        <f>'Income Statement'!D5</f>
        <v>90901</v>
      </c>
      <c r="E6" s="16">
        <f>'Income Statement'!E5</f>
        <v>83545</v>
      </c>
      <c r="F6" s="16">
        <f>'Income Statement'!F5</f>
        <v>86863</v>
      </c>
      <c r="G6" s="16">
        <f>'Income Statement'!G5</f>
        <v>131192</v>
      </c>
    </row>
    <row r="7" spans="2:7" ht="18.75" x14ac:dyDescent="0.25">
      <c r="B7" s="15" t="str">
        <f>'Balance Sheet'!B23</f>
        <v>Tangible Assets</v>
      </c>
      <c r="C7" s="16">
        <f>'Balance Sheet'!C23</f>
        <v>79330</v>
      </c>
      <c r="D7" s="16">
        <f>'Balance Sheet'!D23</f>
        <v>95515</v>
      </c>
      <c r="E7" s="16">
        <f>'Balance Sheet'!E23</f>
        <v>88022</v>
      </c>
      <c r="F7" s="16">
        <f>'Balance Sheet'!F23</f>
        <v>89429</v>
      </c>
      <c r="G7" s="16">
        <f>'Balance Sheet'!G23</f>
        <v>109345</v>
      </c>
    </row>
    <row r="8" spans="2:7" ht="18.75" x14ac:dyDescent="0.25">
      <c r="B8" s="17" t="s">
        <v>188</v>
      </c>
      <c r="C8" s="17">
        <f>ROUND(C6/C7, 2)</f>
        <v>1.1599999999999999</v>
      </c>
      <c r="D8" s="17">
        <f t="shared" ref="D8:G8" si="0">ROUND(D6/D7, 2)</f>
        <v>0.95</v>
      </c>
      <c r="E8" s="17">
        <f t="shared" si="0"/>
        <v>0.95</v>
      </c>
      <c r="F8" s="17">
        <f t="shared" si="0"/>
        <v>0.97</v>
      </c>
      <c r="G8" s="17">
        <f t="shared" si="0"/>
        <v>1.2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D9267-7FB1-48B7-9F1D-6137FDBF8724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189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31582</v>
      </c>
      <c r="D6" s="16">
        <f>'Income Statement'!D11</f>
        <v>25490</v>
      </c>
      <c r="E6" s="16">
        <f>'Income Statement'!E11</f>
        <v>21261</v>
      </c>
      <c r="F6" s="16">
        <f>'Income Statement'!F11</f>
        <v>22849</v>
      </c>
      <c r="G6" s="16">
        <f>'Income Statement'!G11</f>
        <v>37172</v>
      </c>
    </row>
    <row r="7" spans="2:7" ht="18.75" x14ac:dyDescent="0.25">
      <c r="B7" s="15" t="str">
        <f>'Balance Sheet'!B19</f>
        <v>Total Current Liabilities</v>
      </c>
      <c r="C7" s="16">
        <f>'Balance Sheet'!C19</f>
        <v>52515</v>
      </c>
      <c r="D7" s="16">
        <f>'Balance Sheet'!D19</f>
        <v>62332</v>
      </c>
      <c r="E7" s="16">
        <f>'Balance Sheet'!E19</f>
        <v>50245</v>
      </c>
      <c r="F7" s="16">
        <f>'Balance Sheet'!F19</f>
        <v>56406</v>
      </c>
      <c r="G7" s="16">
        <f>'Balance Sheet'!G19</f>
        <v>58352</v>
      </c>
    </row>
    <row r="8" spans="2:7" ht="18.75" x14ac:dyDescent="0.25">
      <c r="B8" s="17" t="s">
        <v>190</v>
      </c>
      <c r="C8" s="17">
        <f>ROUND(C6/C7, 2)</f>
        <v>0.6</v>
      </c>
      <c r="D8" s="17">
        <f t="shared" ref="D8:G8" si="0">ROUND(D6/D7, 2)</f>
        <v>0.41</v>
      </c>
      <c r="E8" s="17">
        <f t="shared" si="0"/>
        <v>0.42</v>
      </c>
      <c r="F8" s="17">
        <f t="shared" si="0"/>
        <v>0.41</v>
      </c>
      <c r="G8" s="17">
        <f t="shared" si="0"/>
        <v>0.64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8D928-A6AE-4C5B-A1A7-BB07D022B3E9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92011</v>
      </c>
      <c r="D6" s="16">
        <f>'Income Statement'!D5</f>
        <v>90901</v>
      </c>
      <c r="E6" s="16">
        <f>'Income Statement'!E5</f>
        <v>83545</v>
      </c>
      <c r="F6" s="16">
        <f>'Income Statement'!F5</f>
        <v>86863</v>
      </c>
      <c r="G6" s="16">
        <f>'Income Statement'!G5</f>
        <v>131192</v>
      </c>
    </row>
    <row r="7" spans="2:7" ht="18.75" x14ac:dyDescent="0.25">
      <c r="B7" s="15" t="str">
        <f>'Balance Sheet'!B36</f>
        <v>Inventories</v>
      </c>
      <c r="C7" s="16">
        <f>'Balance Sheet'!C36</f>
        <v>11967</v>
      </c>
      <c r="D7" s="16">
        <f>'Balance Sheet'!D36</f>
        <v>13198</v>
      </c>
      <c r="E7" s="16">
        <f>'Balance Sheet'!E36</f>
        <v>11335</v>
      </c>
      <c r="F7" s="16">
        <f>'Balance Sheet'!F36</f>
        <v>9923</v>
      </c>
      <c r="G7" s="16">
        <f>'Balance Sheet'!G36</f>
        <v>14313</v>
      </c>
    </row>
    <row r="8" spans="2:7" ht="18.75" x14ac:dyDescent="0.25">
      <c r="B8" s="17" t="s">
        <v>192</v>
      </c>
      <c r="C8" s="17">
        <f>ROUND(365/C6*C7, 2)</f>
        <v>47.47</v>
      </c>
      <c r="D8" s="17">
        <f t="shared" ref="D8:G8" si="0">ROUND(365/D6*D7, 2)</f>
        <v>52.99</v>
      </c>
      <c r="E8" s="17">
        <f t="shared" si="0"/>
        <v>49.52</v>
      </c>
      <c r="F8" s="17">
        <f t="shared" si="0"/>
        <v>41.7</v>
      </c>
      <c r="G8" s="17">
        <f t="shared" si="0"/>
        <v>39.82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BAA0F9-843B-418B-A6E4-17587651BE64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7" width="18.85546875" bestFit="1" customWidth="1"/>
  </cols>
  <sheetData>
    <row r="3" spans="2:7" ht="18.75" x14ac:dyDescent="0.25">
      <c r="B3" s="10" t="s">
        <v>120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97</v>
      </c>
      <c r="C5" s="5">
        <v>92011</v>
      </c>
      <c r="D5" s="5">
        <v>90901</v>
      </c>
      <c r="E5" s="5">
        <v>83545</v>
      </c>
      <c r="F5" s="5">
        <v>86863</v>
      </c>
      <c r="G5" s="5">
        <v>131192</v>
      </c>
    </row>
    <row r="6" spans="2:7" ht="18.75" x14ac:dyDescent="0.25">
      <c r="B6" s="8" t="s">
        <v>98</v>
      </c>
      <c r="C6" s="4">
        <v>1057</v>
      </c>
      <c r="D6" s="4">
        <v>0</v>
      </c>
      <c r="E6" s="4">
        <v>0</v>
      </c>
      <c r="F6" s="4">
        <v>0</v>
      </c>
      <c r="G6" s="5">
        <v>0</v>
      </c>
    </row>
    <row r="7" spans="2:7" ht="18.75" x14ac:dyDescent="0.25">
      <c r="B7" s="9" t="s">
        <v>105</v>
      </c>
      <c r="C7" s="7">
        <f>C5 - C6</f>
        <v>90954</v>
      </c>
      <c r="D7" s="7">
        <f t="shared" ref="D7:G7" si="0">D5 - D6</f>
        <v>90901</v>
      </c>
      <c r="E7" s="7">
        <f t="shared" si="0"/>
        <v>83545</v>
      </c>
      <c r="F7" s="7">
        <f t="shared" si="0"/>
        <v>86863</v>
      </c>
      <c r="G7" s="7">
        <f t="shared" si="0"/>
        <v>131192</v>
      </c>
    </row>
    <row r="8" spans="2:7" ht="18.75" x14ac:dyDescent="0.25">
      <c r="B8" s="8" t="s">
        <v>59</v>
      </c>
      <c r="C8" s="5">
        <v>3574</v>
      </c>
      <c r="D8" s="5">
        <v>4018</v>
      </c>
      <c r="E8" s="5">
        <v>2510</v>
      </c>
      <c r="F8" s="5">
        <v>3421</v>
      </c>
      <c r="G8" s="5">
        <v>2600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94528</v>
      </c>
      <c r="D10" s="7">
        <f t="shared" ref="D10:G10" si="1">SUM(D7:D9)</f>
        <v>94919</v>
      </c>
      <c r="E10" s="7">
        <f t="shared" si="1"/>
        <v>86055</v>
      </c>
      <c r="F10" s="7">
        <f t="shared" si="1"/>
        <v>90284</v>
      </c>
      <c r="G10" s="7">
        <f t="shared" si="1"/>
        <v>133792</v>
      </c>
    </row>
    <row r="11" spans="2:7" ht="18.75" x14ac:dyDescent="0.25">
      <c r="B11" s="8" t="s">
        <v>62</v>
      </c>
      <c r="C11" s="5">
        <v>31582</v>
      </c>
      <c r="D11" s="5">
        <v>25490</v>
      </c>
      <c r="E11" s="5">
        <v>21261</v>
      </c>
      <c r="F11" s="5">
        <v>22849</v>
      </c>
      <c r="G11" s="5">
        <v>37172</v>
      </c>
    </row>
    <row r="12" spans="2:7" ht="18.75" x14ac:dyDescent="0.25">
      <c r="B12" s="8" t="s">
        <v>64</v>
      </c>
      <c r="C12" s="4">
        <v>14026</v>
      </c>
      <c r="D12" s="5">
        <v>18144</v>
      </c>
      <c r="E12" s="5">
        <v>16606</v>
      </c>
      <c r="F12" s="5">
        <v>13674</v>
      </c>
      <c r="G12" s="5">
        <v>0</v>
      </c>
    </row>
    <row r="13" spans="2:7" ht="18.75" x14ac:dyDescent="0.25">
      <c r="B13" s="8" t="s">
        <v>66</v>
      </c>
      <c r="C13" s="5">
        <v>2496</v>
      </c>
      <c r="D13" s="5">
        <v>3023</v>
      </c>
      <c r="E13" s="5">
        <v>2672</v>
      </c>
      <c r="F13" s="5">
        <v>2861</v>
      </c>
      <c r="G13" s="5">
        <v>2811</v>
      </c>
    </row>
    <row r="14" spans="2:7" ht="18.75" x14ac:dyDescent="0.25">
      <c r="B14" s="8" t="s">
        <v>69</v>
      </c>
      <c r="C14" s="5">
        <v>17928</v>
      </c>
      <c r="D14" s="5">
        <v>21628</v>
      </c>
      <c r="E14" s="5">
        <v>21979</v>
      </c>
      <c r="F14" s="5">
        <v>20486</v>
      </c>
      <c r="G14" s="5">
        <v>49841</v>
      </c>
    </row>
    <row r="15" spans="2:7" ht="18.75" x14ac:dyDescent="0.25">
      <c r="B15" s="9" t="s">
        <v>108</v>
      </c>
      <c r="C15" s="7">
        <f>C11+C12+C13+C14</f>
        <v>66032</v>
      </c>
      <c r="D15" s="7">
        <f t="shared" ref="D15:G15" si="2">D11+D12+D13+D14</f>
        <v>68285</v>
      </c>
      <c r="E15" s="7">
        <f t="shared" si="2"/>
        <v>62518</v>
      </c>
      <c r="F15" s="7">
        <f t="shared" si="2"/>
        <v>59870</v>
      </c>
      <c r="G15" s="7">
        <f t="shared" si="2"/>
        <v>89824</v>
      </c>
    </row>
    <row r="16" spans="2:7" ht="18.75" x14ac:dyDescent="0.25">
      <c r="B16" s="9" t="s">
        <v>109</v>
      </c>
      <c r="C16" s="7">
        <f xml:space="preserve"> C10-C15-C8</f>
        <v>24922</v>
      </c>
      <c r="D16" s="7">
        <f t="shared" ref="D16:G16" si="3" xml:space="preserve"> D10-D15-D8</f>
        <v>22616</v>
      </c>
      <c r="E16" s="7">
        <f t="shared" si="3"/>
        <v>21027</v>
      </c>
      <c r="F16" s="7">
        <f t="shared" si="3"/>
        <v>26993</v>
      </c>
      <c r="G16" s="7">
        <f t="shared" si="3"/>
        <v>41368</v>
      </c>
    </row>
    <row r="17" spans="2:7" ht="18.75" x14ac:dyDescent="0.25">
      <c r="B17" s="9" t="s">
        <v>110</v>
      </c>
      <c r="C17" s="7">
        <f xml:space="preserve"> C16+C8</f>
        <v>28496</v>
      </c>
      <c r="D17" s="7">
        <f t="shared" ref="D17:G17" si="4" xml:space="preserve"> D16+D8</f>
        <v>26634</v>
      </c>
      <c r="E17" s="7">
        <f t="shared" si="4"/>
        <v>23537</v>
      </c>
      <c r="F17" s="7">
        <f t="shared" si="4"/>
        <v>30414</v>
      </c>
      <c r="G17" s="7">
        <f t="shared" si="4"/>
        <v>43968</v>
      </c>
    </row>
    <row r="18" spans="2:7" ht="18.75" x14ac:dyDescent="0.25">
      <c r="B18" s="8" t="s">
        <v>68</v>
      </c>
      <c r="C18" s="5">
        <v>6283</v>
      </c>
      <c r="D18" s="5">
        <v>8192</v>
      </c>
      <c r="E18" s="5">
        <v>9093</v>
      </c>
      <c r="F18" s="5">
        <v>7638</v>
      </c>
      <c r="G18" s="5">
        <v>8895</v>
      </c>
    </row>
    <row r="19" spans="2:7" ht="18.75" x14ac:dyDescent="0.25">
      <c r="B19" s="9" t="s">
        <v>111</v>
      </c>
      <c r="C19" s="7">
        <f xml:space="preserve"> C17-C18</f>
        <v>22213</v>
      </c>
      <c r="D19" s="7">
        <f t="shared" ref="D19:G19" si="5" xml:space="preserve"> D17-D18</f>
        <v>18442</v>
      </c>
      <c r="E19" s="7">
        <f t="shared" si="5"/>
        <v>14444</v>
      </c>
      <c r="F19" s="7">
        <f t="shared" si="5"/>
        <v>22776</v>
      </c>
      <c r="G19" s="7">
        <f t="shared" si="5"/>
        <v>35073</v>
      </c>
    </row>
    <row r="20" spans="2:7" ht="18.75" x14ac:dyDescent="0.25">
      <c r="B20" s="8" t="s">
        <v>67</v>
      </c>
      <c r="C20" s="5">
        <v>5783</v>
      </c>
      <c r="D20" s="5">
        <v>5689</v>
      </c>
      <c r="E20" s="5">
        <v>4977</v>
      </c>
      <c r="F20" s="5">
        <v>5210</v>
      </c>
      <c r="G20" s="5">
        <v>4797</v>
      </c>
    </row>
    <row r="21" spans="2:7" ht="18.75" x14ac:dyDescent="0.25">
      <c r="B21" s="9" t="s">
        <v>112</v>
      </c>
      <c r="C21" s="7">
        <f xml:space="preserve"> C19-C20</f>
        <v>16430</v>
      </c>
      <c r="D21" s="7">
        <f t="shared" ref="D21:G21" si="6" xml:space="preserve"> D19-D20</f>
        <v>12753</v>
      </c>
      <c r="E21" s="7">
        <f t="shared" si="6"/>
        <v>9467</v>
      </c>
      <c r="F21" s="7">
        <f t="shared" si="6"/>
        <v>17566</v>
      </c>
      <c r="G21" s="7">
        <f t="shared" si="6"/>
        <v>30276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16430</v>
      </c>
      <c r="D23" s="7">
        <f t="shared" ref="D23:G23" si="7" xml:space="preserve"> D21+D22</f>
        <v>12753</v>
      </c>
      <c r="E23" s="7">
        <f t="shared" si="7"/>
        <v>9467</v>
      </c>
      <c r="F23" s="7">
        <f t="shared" si="7"/>
        <v>17566</v>
      </c>
      <c r="G23" s="7">
        <f t="shared" si="7"/>
        <v>30276</v>
      </c>
    </row>
    <row r="24" spans="2:7" ht="18.75" x14ac:dyDescent="0.25">
      <c r="B24" s="8" t="s">
        <v>72</v>
      </c>
      <c r="C24" s="4">
        <v>2897</v>
      </c>
      <c r="D24" s="4">
        <v>320</v>
      </c>
      <c r="E24" s="5">
        <v>-17386</v>
      </c>
      <c r="F24" s="4">
        <v>-678</v>
      </c>
      <c r="G24" s="5">
        <v>-768</v>
      </c>
    </row>
    <row r="25" spans="2:7" ht="18.75" x14ac:dyDescent="0.25">
      <c r="B25" s="9" t="s">
        <v>115</v>
      </c>
      <c r="C25" s="7">
        <f xml:space="preserve"> C23+C24</f>
        <v>19327</v>
      </c>
      <c r="D25" s="7">
        <f t="shared" ref="D25:G25" si="8" xml:space="preserve"> D23+D24</f>
        <v>13073</v>
      </c>
      <c r="E25" s="7">
        <f t="shared" si="8"/>
        <v>-7919</v>
      </c>
      <c r="F25" s="7">
        <f t="shared" si="8"/>
        <v>16888</v>
      </c>
      <c r="G25" s="7">
        <f t="shared" si="8"/>
        <v>29508</v>
      </c>
    </row>
    <row r="26" spans="2:7" ht="18.75" x14ac:dyDescent="0.25">
      <c r="B26" s="8" t="s">
        <v>79</v>
      </c>
      <c r="C26" s="5">
        <v>5877</v>
      </c>
      <c r="D26" s="5">
        <v>3862</v>
      </c>
      <c r="E26" s="5">
        <v>-3516</v>
      </c>
      <c r="F26" s="5">
        <v>2180</v>
      </c>
      <c r="G26" s="5">
        <v>9255</v>
      </c>
    </row>
    <row r="27" spans="2:7" ht="18.75" x14ac:dyDescent="0.25">
      <c r="B27" s="9" t="s">
        <v>116</v>
      </c>
      <c r="C27" s="7">
        <f xml:space="preserve"> C25-C26</f>
        <v>13450</v>
      </c>
      <c r="D27" s="7">
        <f t="shared" ref="D27:G27" si="9" xml:space="preserve"> D25-D26</f>
        <v>9211</v>
      </c>
      <c r="E27" s="7">
        <f t="shared" si="9"/>
        <v>-4403</v>
      </c>
      <c r="F27" s="7">
        <f t="shared" si="9"/>
        <v>14708</v>
      </c>
      <c r="G27" s="7">
        <f t="shared" si="9"/>
        <v>20253</v>
      </c>
    </row>
    <row r="28" spans="2:7" ht="18.75" x14ac:dyDescent="0.25">
      <c r="B28" s="8" t="s">
        <v>88</v>
      </c>
      <c r="C28" s="4">
        <v>9462</v>
      </c>
      <c r="D28" s="5">
        <v>8411</v>
      </c>
      <c r="E28" s="5">
        <v>1696</v>
      </c>
      <c r="F28" s="5">
        <v>3519</v>
      </c>
      <c r="G28" s="5">
        <v>0</v>
      </c>
    </row>
    <row r="29" spans="2:7" ht="18.75" x14ac:dyDescent="0.25">
      <c r="B29" s="8" t="s">
        <v>89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3988</v>
      </c>
      <c r="D30" s="7">
        <f t="shared" ref="D30:G30" si="10" xml:space="preserve"> D27-D28-D29</f>
        <v>800</v>
      </c>
      <c r="E30" s="7">
        <f t="shared" si="10"/>
        <v>-6099</v>
      </c>
      <c r="F30" s="7">
        <f t="shared" si="10"/>
        <v>11189</v>
      </c>
      <c r="G30" s="7">
        <f t="shared" si="10"/>
        <v>20253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28</v>
      </c>
      <c r="D34" s="4">
        <v>19</v>
      </c>
      <c r="E34" s="4">
        <v>-18</v>
      </c>
      <c r="F34" s="4">
        <v>31</v>
      </c>
      <c r="G34" s="4">
        <v>51</v>
      </c>
    </row>
    <row r="35" spans="2:7" ht="18.75" x14ac:dyDescent="0.25">
      <c r="B35" s="8" t="s">
        <v>118</v>
      </c>
      <c r="C35" s="4">
        <f>C27/C34</f>
        <v>480.35714285714283</v>
      </c>
      <c r="D35" s="4">
        <f t="shared" ref="D35:G35" si="11">D27/D34</f>
        <v>484.78947368421052</v>
      </c>
      <c r="E35" s="4">
        <f t="shared" si="11"/>
        <v>244.61111111111111</v>
      </c>
      <c r="F35" s="4">
        <f t="shared" si="11"/>
        <v>474.45161290322579</v>
      </c>
      <c r="G35" s="4">
        <f t="shared" si="11"/>
        <v>397.11764705882354</v>
      </c>
    </row>
  </sheetData>
  <mergeCells count="1">
    <mergeCell ref="B3:G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ACDE2-1150-4DB9-8BE8-1A78C55C6318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193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31582</v>
      </c>
      <c r="D6" s="16">
        <f>'Income Statement'!D11</f>
        <v>25490</v>
      </c>
      <c r="E6" s="16">
        <f>'Income Statement'!E11</f>
        <v>21261</v>
      </c>
      <c r="F6" s="16">
        <f>'Income Statement'!F11</f>
        <v>22849</v>
      </c>
      <c r="G6" s="16">
        <f>'Income Statement'!G11</f>
        <v>37172</v>
      </c>
    </row>
    <row r="7" spans="2:7" ht="18.75" x14ac:dyDescent="0.25">
      <c r="B7" s="15" t="str">
        <f>'Balance Sheet'!B19</f>
        <v>Total Current Liabilities</v>
      </c>
      <c r="C7" s="16">
        <f>'Balance Sheet'!C19</f>
        <v>52515</v>
      </c>
      <c r="D7" s="16">
        <f>'Balance Sheet'!D19</f>
        <v>62332</v>
      </c>
      <c r="E7" s="16">
        <f>'Balance Sheet'!E19</f>
        <v>50245</v>
      </c>
      <c r="F7" s="16">
        <f>'Balance Sheet'!F19</f>
        <v>56406</v>
      </c>
      <c r="G7" s="16">
        <f>'Balance Sheet'!G19</f>
        <v>58352</v>
      </c>
    </row>
    <row r="8" spans="2:7" ht="18.75" x14ac:dyDescent="0.25">
      <c r="B8" s="17" t="s">
        <v>194</v>
      </c>
      <c r="C8" s="17">
        <f>ROUND(365/C6*C7, 2)</f>
        <v>606.92999999999995</v>
      </c>
      <c r="D8" s="17">
        <f t="shared" ref="D8:G8" si="0">ROUND(365/D6*D7, 2)</f>
        <v>892.55</v>
      </c>
      <c r="E8" s="17">
        <f t="shared" si="0"/>
        <v>862.59</v>
      </c>
      <c r="F8" s="17">
        <f t="shared" si="0"/>
        <v>901.05</v>
      </c>
      <c r="G8" s="17">
        <f t="shared" si="0"/>
        <v>572.97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21F33-0A3E-4FDE-963E-C8601D537E55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92011</v>
      </c>
      <c r="D6" s="16">
        <f>'Income Statement'!D5</f>
        <v>90901</v>
      </c>
      <c r="E6" s="16">
        <f>'Income Statement'!E5</f>
        <v>83545</v>
      </c>
      <c r="F6" s="16">
        <f>'Income Statement'!F5</f>
        <v>86863</v>
      </c>
      <c r="G6" s="16">
        <f>'Income Statement'!G5</f>
        <v>131192</v>
      </c>
    </row>
    <row r="7" spans="2:7" ht="18.75" x14ac:dyDescent="0.25">
      <c r="B7" s="15" t="str">
        <f>'Balance Sheet'!B37</f>
        <v>Trade Receivables</v>
      </c>
      <c r="C7" s="16">
        <f>'Balance Sheet'!C37</f>
        <v>3969</v>
      </c>
      <c r="D7" s="16">
        <f>'Balance Sheet'!D37</f>
        <v>3982</v>
      </c>
      <c r="E7" s="16">
        <f>'Balance Sheet'!E37</f>
        <v>2697</v>
      </c>
      <c r="F7" s="16">
        <f>'Balance Sheet'!F37</f>
        <v>3491</v>
      </c>
      <c r="G7" s="16">
        <f>'Balance Sheet'!G37</f>
        <v>4946</v>
      </c>
    </row>
    <row r="8" spans="2:7" ht="18.75" x14ac:dyDescent="0.25">
      <c r="B8" s="17" t="s">
        <v>196</v>
      </c>
      <c r="C8" s="17">
        <f>ROUND(365/C6*C7, 2)</f>
        <v>15.74</v>
      </c>
      <c r="D8" s="17">
        <f t="shared" ref="D8:G8" si="0">ROUND(365/D6*D7, 2)</f>
        <v>15.99</v>
      </c>
      <c r="E8" s="17">
        <f t="shared" si="0"/>
        <v>11.78</v>
      </c>
      <c r="F8" s="17">
        <f t="shared" si="0"/>
        <v>14.67</v>
      </c>
      <c r="G8" s="17">
        <f t="shared" si="0"/>
        <v>13.76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C135A-977C-424F-90BD-DA5CFE6294E1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92011</v>
      </c>
      <c r="D6" s="16">
        <f>'Income Statement'!D5</f>
        <v>90901</v>
      </c>
      <c r="E6" s="16">
        <f>'Income Statement'!E5</f>
        <v>83545</v>
      </c>
      <c r="F6" s="16">
        <f>'Income Statement'!F5</f>
        <v>86863</v>
      </c>
      <c r="G6" s="16">
        <f>'Income Statement'!G5</f>
        <v>131192</v>
      </c>
    </row>
    <row r="7" spans="2:7" ht="18.75" x14ac:dyDescent="0.25">
      <c r="B7" s="15" t="str">
        <f>'Balance Sheet'!B36</f>
        <v>Inventories</v>
      </c>
      <c r="C7" s="16">
        <f>'Balance Sheet'!C36</f>
        <v>11967</v>
      </c>
      <c r="D7" s="16">
        <f>'Balance Sheet'!D36</f>
        <v>13198</v>
      </c>
      <c r="E7" s="16">
        <f>'Balance Sheet'!E36</f>
        <v>11335</v>
      </c>
      <c r="F7" s="16">
        <f>'Balance Sheet'!F36</f>
        <v>9923</v>
      </c>
      <c r="G7" s="16">
        <f>'Balance Sheet'!G36</f>
        <v>14313</v>
      </c>
    </row>
    <row r="8" spans="2:7" ht="18.75" x14ac:dyDescent="0.25">
      <c r="B8" s="15" t="s">
        <v>192</v>
      </c>
      <c r="C8" s="16">
        <f>ROUND(365/C6*C7, 2)</f>
        <v>47.47</v>
      </c>
      <c r="D8" s="16">
        <f t="shared" ref="D8:G8" si="0">ROUND(365/D6*D7, 2)</f>
        <v>52.99</v>
      </c>
      <c r="E8" s="16">
        <f t="shared" si="0"/>
        <v>49.52</v>
      </c>
      <c r="F8" s="16">
        <f t="shared" si="0"/>
        <v>41.7</v>
      </c>
      <c r="G8" s="16">
        <f t="shared" si="0"/>
        <v>39.82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31582</v>
      </c>
      <c r="D9" s="16">
        <f>'Income Statement'!D11</f>
        <v>25490</v>
      </c>
      <c r="E9" s="16">
        <f>'Income Statement'!E11</f>
        <v>21261</v>
      </c>
      <c r="F9" s="16">
        <f>'Income Statement'!F11</f>
        <v>22849</v>
      </c>
      <c r="G9" s="16">
        <f>'Income Statement'!G11</f>
        <v>37172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52515</v>
      </c>
      <c r="D10" s="16">
        <f>'Balance Sheet'!D19</f>
        <v>62332</v>
      </c>
      <c r="E10" s="16">
        <f>'Balance Sheet'!E19</f>
        <v>50245</v>
      </c>
      <c r="F10" s="16">
        <f>'Balance Sheet'!F19</f>
        <v>56406</v>
      </c>
      <c r="G10" s="16">
        <f>'Balance Sheet'!G19</f>
        <v>58352</v>
      </c>
    </row>
    <row r="11" spans="2:7" ht="18.75" x14ac:dyDescent="0.25">
      <c r="B11" s="15" t="s">
        <v>194</v>
      </c>
      <c r="C11" s="16">
        <f>ROUND(365/C9*C10, 2)</f>
        <v>606.92999999999995</v>
      </c>
      <c r="D11" s="16">
        <f t="shared" ref="D11:G11" si="1">ROUND(365/D9*D10, 2)</f>
        <v>892.55</v>
      </c>
      <c r="E11" s="16">
        <f t="shared" si="1"/>
        <v>862.59</v>
      </c>
      <c r="F11" s="16">
        <f t="shared" si="1"/>
        <v>901.05</v>
      </c>
      <c r="G11" s="16">
        <f t="shared" si="1"/>
        <v>572.97</v>
      </c>
    </row>
    <row r="12" spans="2:7" ht="18.75" x14ac:dyDescent="0.25">
      <c r="B12" s="17" t="s">
        <v>198</v>
      </c>
      <c r="C12" s="28">
        <f>ROUND(C11+C8, 2)</f>
        <v>654.4</v>
      </c>
      <c r="D12" s="28">
        <f t="shared" ref="D12:G12" si="2">ROUND(D11+D8, 2)</f>
        <v>945.54</v>
      </c>
      <c r="E12" s="28">
        <f t="shared" si="2"/>
        <v>912.11</v>
      </c>
      <c r="F12" s="28">
        <f t="shared" si="2"/>
        <v>942.75</v>
      </c>
      <c r="G12" s="28">
        <f t="shared" si="2"/>
        <v>612.79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B883F-0997-4045-B916-29808076105A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199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92011</v>
      </c>
      <c r="D6" s="16">
        <f>'Income Statement'!D5</f>
        <v>90901</v>
      </c>
      <c r="E6" s="16">
        <f>'Income Statement'!E5</f>
        <v>83545</v>
      </c>
      <c r="F6" s="16">
        <f>'Income Statement'!F5</f>
        <v>86863</v>
      </c>
      <c r="G6" s="16">
        <f>'Income Statement'!G5</f>
        <v>131192</v>
      </c>
    </row>
    <row r="7" spans="2:7" ht="18.75" x14ac:dyDescent="0.25">
      <c r="B7" s="15" t="str">
        <f>'Balance Sheet'!B36</f>
        <v>Inventories</v>
      </c>
      <c r="C7" s="16">
        <f>'Balance Sheet'!C36</f>
        <v>11967</v>
      </c>
      <c r="D7" s="16">
        <f>'Balance Sheet'!D36</f>
        <v>13198</v>
      </c>
      <c r="E7" s="16">
        <f>'Balance Sheet'!E36</f>
        <v>11335</v>
      </c>
      <c r="F7" s="16">
        <f>'Balance Sheet'!F36</f>
        <v>9923</v>
      </c>
      <c r="G7" s="16">
        <f>'Balance Sheet'!G36</f>
        <v>14313</v>
      </c>
    </row>
    <row r="8" spans="2:7" ht="18.75" x14ac:dyDescent="0.25">
      <c r="B8" s="15" t="s">
        <v>192</v>
      </c>
      <c r="C8" s="16">
        <f>ROUND(365/C6*C7, 2)</f>
        <v>47.47</v>
      </c>
      <c r="D8" s="16">
        <f t="shared" ref="D8:G8" si="0">ROUND(365/D6*D7, 2)</f>
        <v>52.99</v>
      </c>
      <c r="E8" s="16">
        <f t="shared" si="0"/>
        <v>49.52</v>
      </c>
      <c r="F8" s="16">
        <f t="shared" si="0"/>
        <v>41.7</v>
      </c>
      <c r="G8" s="16">
        <f t="shared" si="0"/>
        <v>39.82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31582</v>
      </c>
      <c r="D9" s="16">
        <f>'Income Statement'!D11</f>
        <v>25490</v>
      </c>
      <c r="E9" s="16">
        <f>'Income Statement'!E11</f>
        <v>21261</v>
      </c>
      <c r="F9" s="16">
        <f>'Income Statement'!F11</f>
        <v>22849</v>
      </c>
      <c r="G9" s="16">
        <f>'Income Statement'!G11</f>
        <v>37172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52515</v>
      </c>
      <c r="D10" s="16">
        <f>'Balance Sheet'!D19</f>
        <v>62332</v>
      </c>
      <c r="E10" s="16">
        <f>'Balance Sheet'!E19</f>
        <v>50245</v>
      </c>
      <c r="F10" s="16">
        <f>'Balance Sheet'!F19</f>
        <v>56406</v>
      </c>
      <c r="G10" s="16">
        <f>'Balance Sheet'!G19</f>
        <v>58352</v>
      </c>
    </row>
    <row r="11" spans="2:7" ht="18.75" x14ac:dyDescent="0.25">
      <c r="B11" s="15" t="s">
        <v>194</v>
      </c>
      <c r="C11" s="16">
        <f>ROUND(365/C9*C10, 2)</f>
        <v>606.92999999999995</v>
      </c>
      <c r="D11" s="16">
        <f t="shared" ref="D11:G11" si="1">ROUND(365/D9*D10, 2)</f>
        <v>892.55</v>
      </c>
      <c r="E11" s="16">
        <f t="shared" si="1"/>
        <v>862.59</v>
      </c>
      <c r="F11" s="16">
        <f t="shared" si="1"/>
        <v>901.05</v>
      </c>
      <c r="G11" s="16">
        <f t="shared" si="1"/>
        <v>572.97</v>
      </c>
    </row>
    <row r="12" spans="2:7" ht="18.75" x14ac:dyDescent="0.25">
      <c r="B12" s="15" t="s">
        <v>200</v>
      </c>
      <c r="C12" s="16">
        <f>ROUND(C11+C8, 2)</f>
        <v>654.4</v>
      </c>
      <c r="D12" s="16">
        <f t="shared" ref="D12:G12" si="2">ROUND(D11+D8, 2)</f>
        <v>945.54</v>
      </c>
      <c r="E12" s="16">
        <f t="shared" si="2"/>
        <v>912.11</v>
      </c>
      <c r="F12" s="16">
        <f t="shared" si="2"/>
        <v>942.75</v>
      </c>
      <c r="G12" s="16">
        <f t="shared" si="2"/>
        <v>612.79</v>
      </c>
    </row>
    <row r="13" spans="2:7" ht="18.75" x14ac:dyDescent="0.25">
      <c r="B13" s="15" t="str">
        <f>'Income Statement'!B11</f>
        <v>Cost Of Materials Consumed</v>
      </c>
      <c r="C13" s="16">
        <f>'Income Statement'!C11</f>
        <v>31582</v>
      </c>
      <c r="D13" s="16">
        <f>'Income Statement'!D11</f>
        <v>25490</v>
      </c>
      <c r="E13" s="16">
        <f>'Income Statement'!E11</f>
        <v>21261</v>
      </c>
      <c r="F13" s="16">
        <f>'Income Statement'!F11</f>
        <v>22849</v>
      </c>
      <c r="G13" s="16">
        <f>'Income Statement'!G11</f>
        <v>37172</v>
      </c>
    </row>
    <row r="14" spans="2:7" ht="18.75" x14ac:dyDescent="0.25">
      <c r="B14" s="15" t="str">
        <f>'Balance Sheet'!B19</f>
        <v>Total Current Liabilities</v>
      </c>
      <c r="C14" s="16">
        <f>'Balance Sheet'!C19</f>
        <v>52515</v>
      </c>
      <c r="D14" s="16">
        <f>'Balance Sheet'!D19</f>
        <v>62332</v>
      </c>
      <c r="E14" s="16">
        <f>'Balance Sheet'!E19</f>
        <v>50245</v>
      </c>
      <c r="F14" s="16">
        <f>'Balance Sheet'!F19</f>
        <v>56406</v>
      </c>
      <c r="G14" s="16">
        <f>'Balance Sheet'!G19</f>
        <v>58352</v>
      </c>
    </row>
    <row r="15" spans="2:7" ht="18.75" x14ac:dyDescent="0.25">
      <c r="B15" s="15" t="s">
        <v>194</v>
      </c>
      <c r="C15" s="16">
        <f>ROUND(365/C13*C14, 2)</f>
        <v>606.92999999999995</v>
      </c>
      <c r="D15" s="16">
        <f t="shared" ref="D15:G15" si="3">ROUND(365/D13*D14, 2)</f>
        <v>892.55</v>
      </c>
      <c r="E15" s="16">
        <f t="shared" si="3"/>
        <v>862.59</v>
      </c>
      <c r="F15" s="16">
        <f t="shared" si="3"/>
        <v>901.05</v>
      </c>
      <c r="G15" s="16">
        <f t="shared" si="3"/>
        <v>572.97</v>
      </c>
    </row>
    <row r="16" spans="2:7" ht="18.75" x14ac:dyDescent="0.25">
      <c r="B16" s="17" t="s">
        <v>201</v>
      </c>
      <c r="C16" s="28">
        <f>ROUND(C15-C12, 2)</f>
        <v>-47.47</v>
      </c>
      <c r="D16" s="28">
        <f t="shared" ref="D16:G16" si="4">ROUND(D15-D12, 2)</f>
        <v>-52.99</v>
      </c>
      <c r="E16" s="28">
        <f t="shared" si="4"/>
        <v>-49.52</v>
      </c>
      <c r="F16" s="28">
        <f t="shared" si="4"/>
        <v>-41.7</v>
      </c>
      <c r="G16" s="28">
        <f t="shared" si="4"/>
        <v>-39.82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2B2B4-6048-4461-89D7-B580D4A79CC2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Sheet'!B9</f>
        <v>Net Worth</v>
      </c>
      <c r="C5" s="16">
        <f>'Balance Sheet'!C9</f>
        <v>63508</v>
      </c>
      <c r="D5" s="16">
        <f>'Balance Sheet'!D9</f>
        <v>64308</v>
      </c>
      <c r="E5" s="16">
        <f>'Balance Sheet'!E9</f>
        <v>58209</v>
      </c>
      <c r="F5" s="16">
        <f>'Balance Sheet'!F9</f>
        <v>69398</v>
      </c>
      <c r="G5" s="16">
        <f>'Balance Sheet'!G9</f>
        <v>89651</v>
      </c>
    </row>
    <row r="6" spans="2:7" ht="18.75" x14ac:dyDescent="0.25">
      <c r="B6" s="15" t="str">
        <f>'Balance Sheet'!B21</f>
        <v>Total Liabilities</v>
      </c>
      <c r="C6" s="16">
        <f>'Balance Sheet'!C21</f>
        <v>184798</v>
      </c>
      <c r="D6" s="16">
        <f>'Balance Sheet'!D21</f>
        <v>204052</v>
      </c>
      <c r="E6" s="16">
        <f>'Balance Sheet'!E21</f>
        <v>187194</v>
      </c>
      <c r="F6" s="16">
        <f>'Balance Sheet'!F21</f>
        <v>192815</v>
      </c>
      <c r="G6" s="16">
        <f>'Balance Sheet'!G21</f>
        <v>222868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AF68D-4B99-4053-9791-0A93D636A91A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Statement'!B17</f>
        <v>PBDIT</v>
      </c>
      <c r="C5" s="16">
        <f>'Income Statement'!C17</f>
        <v>28496</v>
      </c>
      <c r="D5" s="16">
        <f>'Income Statement'!D17</f>
        <v>26634</v>
      </c>
      <c r="E5" s="16">
        <f>'Income Statement'!E17</f>
        <v>23537</v>
      </c>
      <c r="F5" s="16">
        <f>'Income Statement'!F17</f>
        <v>30414</v>
      </c>
      <c r="G5" s="16">
        <f>'Income Statement'!G17</f>
        <v>43968</v>
      </c>
    </row>
    <row r="6" spans="2:7" ht="18.75" x14ac:dyDescent="0.25">
      <c r="B6" s="15" t="str">
        <f>'Income Statement'!B19</f>
        <v>PBIT</v>
      </c>
      <c r="C6" s="16">
        <f>'Income Statement'!C19</f>
        <v>22213</v>
      </c>
      <c r="D6" s="16">
        <f>'Income Statement'!D19</f>
        <v>18442</v>
      </c>
      <c r="E6" s="16">
        <f>'Income Statement'!E19</f>
        <v>14444</v>
      </c>
      <c r="F6" s="16">
        <f>'Income Statement'!F19</f>
        <v>22776</v>
      </c>
      <c r="G6" s="16">
        <f>'Income Statement'!G19</f>
        <v>35073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5172D-4219-4FE1-A467-EB058156D512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6" width="13.140625" bestFit="1" customWidth="1"/>
    <col min="7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Sheet'!B39</f>
        <v>Total Current Assets</v>
      </c>
      <c r="C5" s="16">
        <f>'Balance Sheet'!C39</f>
        <v>43764</v>
      </c>
      <c r="D5" s="16">
        <f>'Balance Sheet'!D39</f>
        <v>60546</v>
      </c>
      <c r="E5" s="16">
        <f>'Balance Sheet'!E39</f>
        <v>73985</v>
      </c>
      <c r="F5" s="16">
        <f>'Balance Sheet'!F39</f>
        <v>96728</v>
      </c>
      <c r="G5" s="16">
        <f>'Balance Sheet'!G39</f>
        <v>130050</v>
      </c>
    </row>
    <row r="6" spans="2:7" ht="18.75" x14ac:dyDescent="0.25">
      <c r="B6" s="15" t="str">
        <f>'Balance Sheet'!B19</f>
        <v>Total Current Liabilities</v>
      </c>
      <c r="C6" s="16">
        <f>'Balance Sheet'!C19</f>
        <v>52515</v>
      </c>
      <c r="D6" s="16">
        <f>'Balance Sheet'!D19</f>
        <v>62332</v>
      </c>
      <c r="E6" s="16">
        <f>'Balance Sheet'!E19</f>
        <v>50245</v>
      </c>
      <c r="F6" s="16">
        <f>'Balance Sheet'!F19</f>
        <v>56406</v>
      </c>
      <c r="G6" s="16">
        <f>'Balance Sheet'!G19</f>
        <v>58352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FC7B0-7FC7-43CF-914D-9D3FC3583F98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Sheet'!B14</f>
        <v>Long Term Provisions</v>
      </c>
      <c r="C5" s="16">
        <f>'Balance Sheet'!C14</f>
        <v>2361</v>
      </c>
      <c r="D5" s="16">
        <f>'Balance Sheet'!D14</f>
        <v>2596</v>
      </c>
      <c r="E5" s="16">
        <f>'Balance Sheet'!E14</f>
        <v>2828</v>
      </c>
      <c r="F5" s="16">
        <f>'Balance Sheet'!F14</f>
        <v>3132</v>
      </c>
      <c r="G5" s="16">
        <f>'Balance Sheet'!G14</f>
        <v>3386</v>
      </c>
    </row>
    <row r="6" spans="2:7" ht="18.75" x14ac:dyDescent="0.25">
      <c r="B6" s="15" t="str">
        <f>'Balance Sheet'!B15</f>
        <v>Short Term Provisions</v>
      </c>
      <c r="C6" s="16">
        <f>'Balance Sheet'!C15</f>
        <v>410</v>
      </c>
      <c r="D6" s="16">
        <f>'Balance Sheet'!D15</f>
        <v>387</v>
      </c>
      <c r="E6" s="16">
        <f>'Balance Sheet'!E15</f>
        <v>355</v>
      </c>
      <c r="F6" s="16">
        <f>'Balance Sheet'!F15</f>
        <v>353</v>
      </c>
      <c r="G6" s="16">
        <f>'Balance Sheet'!G15</f>
        <v>417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5B5F5-019E-491B-8756-B34D53A21A9B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Statement'!B11</f>
        <v>Cost Of Materials Consumed</v>
      </c>
      <c r="C5" s="16">
        <f>'Income Statement'!C11</f>
        <v>31582</v>
      </c>
      <c r="D5" s="16">
        <f>'Income Statement'!D11</f>
        <v>25490</v>
      </c>
      <c r="E5" s="16">
        <f>'Income Statement'!E11</f>
        <v>21261</v>
      </c>
      <c r="F5" s="16">
        <f>'Income Statement'!F11</f>
        <v>22849</v>
      </c>
      <c r="G5" s="16">
        <f>'Income Statement'!G11</f>
        <v>37172</v>
      </c>
    </row>
    <row r="6" spans="2:7" ht="18.75" x14ac:dyDescent="0.25">
      <c r="B6" s="15" t="str">
        <f>'Income Statement'!B12</f>
        <v>Operating And Direct Expenses</v>
      </c>
      <c r="C6" s="16">
        <f>'Income Statement'!C12</f>
        <v>14026</v>
      </c>
      <c r="D6" s="16">
        <f>'Income Statement'!D12</f>
        <v>18144</v>
      </c>
      <c r="E6" s="16">
        <f>'Income Statement'!E12</f>
        <v>16606</v>
      </c>
      <c r="F6" s="16">
        <f>'Income Statement'!F12</f>
        <v>13674</v>
      </c>
      <c r="G6" s="16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7665A-87D4-48FE-89CC-C5B9B5136C9F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6" width="13.140625" bestFit="1" customWidth="1"/>
    <col min="7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Statement'!B5</f>
        <v>Gross Sales</v>
      </c>
      <c r="C5" s="16">
        <f>'Income Statement'!C5</f>
        <v>92011</v>
      </c>
      <c r="D5" s="16">
        <f>'Income Statement'!D5</f>
        <v>90901</v>
      </c>
      <c r="E5" s="16">
        <f>'Income Statement'!E5</f>
        <v>83545</v>
      </c>
      <c r="F5" s="16">
        <f>'Income Statement'!F5</f>
        <v>86863</v>
      </c>
      <c r="G5" s="16">
        <f>'Income Statement'!G5</f>
        <v>131192</v>
      </c>
    </row>
    <row r="6" spans="2:7" ht="18.75" x14ac:dyDescent="0.25">
      <c r="B6" s="15" t="str">
        <f>'Income Statement'!B10</f>
        <v>Total Income</v>
      </c>
      <c r="C6" s="16">
        <f>'Income Statement'!C10</f>
        <v>94528</v>
      </c>
      <c r="D6" s="16">
        <f>'Income Statement'!D10</f>
        <v>94919</v>
      </c>
      <c r="E6" s="16">
        <f>'Income Statement'!E10</f>
        <v>86055</v>
      </c>
      <c r="F6" s="16">
        <f>'Income Statement'!F10</f>
        <v>90284</v>
      </c>
      <c r="G6" s="16">
        <f>'Income Statement'!G10</f>
        <v>133792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62EF4-97AC-453C-9D8C-49A51B5A557B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7" width="17.140625" bestFit="1" customWidth="1"/>
  </cols>
  <sheetData>
    <row r="3" spans="2:7" ht="18.75" x14ac:dyDescent="0.25">
      <c r="B3" s="10" t="s">
        <v>128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5</v>
      </c>
      <c r="C5" s="4">
        <v>372</v>
      </c>
      <c r="D5" s="4">
        <v>372</v>
      </c>
      <c r="E5" s="4">
        <v>372</v>
      </c>
      <c r="F5" s="4">
        <v>372</v>
      </c>
      <c r="G5" s="4">
        <v>372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6">
        <f>C5+C6</f>
        <v>372</v>
      </c>
      <c r="D7" s="6">
        <f t="shared" ref="D7:G7" si="0">D5+D6</f>
        <v>372</v>
      </c>
      <c r="E7" s="6">
        <f t="shared" si="0"/>
        <v>372</v>
      </c>
      <c r="F7" s="6">
        <f t="shared" si="0"/>
        <v>372</v>
      </c>
      <c r="G7" s="6">
        <f t="shared" si="0"/>
        <v>372</v>
      </c>
    </row>
    <row r="8" spans="2:7" ht="18.75" x14ac:dyDescent="0.25">
      <c r="B8" s="8" t="s">
        <v>7</v>
      </c>
      <c r="C8" s="5">
        <v>63136</v>
      </c>
      <c r="D8" s="5">
        <f>'Income Statement'!D30+C8</f>
        <v>63936</v>
      </c>
      <c r="E8" s="5">
        <f>'Income Statement'!E30+D8</f>
        <v>57837</v>
      </c>
      <c r="F8" s="5">
        <f>'Income Statement'!F30+E8</f>
        <v>69026</v>
      </c>
      <c r="G8" s="5">
        <f>'Income Statement'!G30+F8</f>
        <v>89279</v>
      </c>
    </row>
    <row r="9" spans="2:7" ht="18.75" x14ac:dyDescent="0.25">
      <c r="B9" s="9" t="s">
        <v>122</v>
      </c>
      <c r="C9" s="7">
        <f>C7+C8</f>
        <v>63508</v>
      </c>
      <c r="D9" s="7">
        <f t="shared" ref="D9:G9" si="1">D7+D8</f>
        <v>64308</v>
      </c>
      <c r="E9" s="7">
        <f t="shared" si="1"/>
        <v>58209</v>
      </c>
      <c r="F9" s="7">
        <f t="shared" si="1"/>
        <v>69398</v>
      </c>
      <c r="G9" s="7">
        <f t="shared" si="1"/>
        <v>89651</v>
      </c>
    </row>
    <row r="10" spans="2:7" ht="18.75" x14ac:dyDescent="0.25">
      <c r="B10" s="8" t="s">
        <v>12</v>
      </c>
      <c r="C10" s="5">
        <v>26789</v>
      </c>
      <c r="D10" s="5">
        <v>34719</v>
      </c>
      <c r="E10" s="5">
        <v>36722</v>
      </c>
      <c r="F10" s="5">
        <v>37960</v>
      </c>
      <c r="G10" s="5">
        <v>36205</v>
      </c>
    </row>
    <row r="11" spans="2:7" ht="18.75" x14ac:dyDescent="0.25">
      <c r="B11" s="8" t="s">
        <v>13</v>
      </c>
      <c r="C11" s="5">
        <v>4078</v>
      </c>
      <c r="D11" s="5">
        <v>4484</v>
      </c>
      <c r="E11" s="5">
        <v>2885</v>
      </c>
      <c r="F11" s="5">
        <v>2215</v>
      </c>
      <c r="G11" s="5">
        <v>4435</v>
      </c>
    </row>
    <row r="12" spans="2:7" ht="18.75" x14ac:dyDescent="0.25">
      <c r="B12" s="8" t="s">
        <v>18</v>
      </c>
      <c r="C12" s="5">
        <v>21951</v>
      </c>
      <c r="D12" s="5">
        <v>22982</v>
      </c>
      <c r="E12" s="5">
        <v>22021</v>
      </c>
      <c r="F12" s="5">
        <v>11698</v>
      </c>
      <c r="G12" s="5">
        <v>16904</v>
      </c>
    </row>
    <row r="13" spans="2:7" ht="18.75" x14ac:dyDescent="0.25">
      <c r="B13" s="9" t="s">
        <v>123</v>
      </c>
      <c r="C13" s="7">
        <f>C10+C11+C12</f>
        <v>52818</v>
      </c>
      <c r="D13" s="7">
        <f t="shared" ref="D13:G13" si="2">D10+D11+D12</f>
        <v>62185</v>
      </c>
      <c r="E13" s="7">
        <f t="shared" si="2"/>
        <v>61628</v>
      </c>
      <c r="F13" s="7">
        <f t="shared" si="2"/>
        <v>51873</v>
      </c>
      <c r="G13" s="7">
        <f t="shared" si="2"/>
        <v>57544</v>
      </c>
    </row>
    <row r="14" spans="2:7" ht="18.75" x14ac:dyDescent="0.25">
      <c r="B14" s="8" t="s">
        <v>15</v>
      </c>
      <c r="C14" s="5">
        <v>2361</v>
      </c>
      <c r="D14" s="5">
        <v>2596</v>
      </c>
      <c r="E14" s="5">
        <v>2828</v>
      </c>
      <c r="F14" s="5">
        <v>3132</v>
      </c>
      <c r="G14" s="5">
        <v>3386</v>
      </c>
    </row>
    <row r="15" spans="2:7" ht="18.75" x14ac:dyDescent="0.25">
      <c r="B15" s="8" t="s">
        <v>21</v>
      </c>
      <c r="C15" s="4">
        <v>410</v>
      </c>
      <c r="D15" s="4">
        <v>387</v>
      </c>
      <c r="E15" s="4">
        <v>355</v>
      </c>
      <c r="F15" s="4">
        <v>353</v>
      </c>
      <c r="G15" s="4">
        <v>417</v>
      </c>
    </row>
    <row r="16" spans="2:7" ht="18.75" x14ac:dyDescent="0.25">
      <c r="B16" s="8" t="s">
        <v>14</v>
      </c>
      <c r="C16" s="5">
        <v>4858</v>
      </c>
      <c r="D16" s="5">
        <v>6077</v>
      </c>
      <c r="E16" s="5">
        <v>6116</v>
      </c>
      <c r="F16" s="5">
        <v>5848</v>
      </c>
      <c r="G16" s="5">
        <v>6157</v>
      </c>
    </row>
    <row r="17" spans="2:7" ht="18.75" x14ac:dyDescent="0.25">
      <c r="B17" s="8" t="s">
        <v>19</v>
      </c>
      <c r="C17" s="5">
        <v>17843</v>
      </c>
      <c r="D17" s="5">
        <v>17352</v>
      </c>
      <c r="E17" s="5">
        <v>8027</v>
      </c>
      <c r="F17" s="5">
        <v>7892</v>
      </c>
      <c r="G17" s="5">
        <v>10538</v>
      </c>
    </row>
    <row r="18" spans="2:7" ht="18.75" x14ac:dyDescent="0.25">
      <c r="B18" s="8" t="s">
        <v>20</v>
      </c>
      <c r="C18" s="5">
        <v>27043</v>
      </c>
      <c r="D18" s="5">
        <v>35920</v>
      </c>
      <c r="E18" s="5">
        <v>32919</v>
      </c>
      <c r="F18" s="5">
        <v>39181</v>
      </c>
      <c r="G18" s="5">
        <v>37854</v>
      </c>
    </row>
    <row r="19" spans="2:7" ht="18.75" x14ac:dyDescent="0.25">
      <c r="B19" s="9" t="s">
        <v>22</v>
      </c>
      <c r="C19" s="7">
        <f>C14+C15+C16+C17+C18</f>
        <v>52515</v>
      </c>
      <c r="D19" s="7">
        <f t="shared" ref="D19:G19" si="3">D14+D15+D16+D17+D18</f>
        <v>62332</v>
      </c>
      <c r="E19" s="7">
        <f t="shared" si="3"/>
        <v>50245</v>
      </c>
      <c r="F19" s="7">
        <f t="shared" si="3"/>
        <v>56406</v>
      </c>
      <c r="G19" s="7">
        <f t="shared" si="3"/>
        <v>58352</v>
      </c>
    </row>
    <row r="20" spans="2:7" ht="18.75" x14ac:dyDescent="0.25">
      <c r="B20" s="8" t="s">
        <v>10</v>
      </c>
      <c r="C20" s="5">
        <v>15957</v>
      </c>
      <c r="D20" s="5">
        <v>15227</v>
      </c>
      <c r="E20" s="5">
        <v>17112</v>
      </c>
      <c r="F20" s="5">
        <v>15138</v>
      </c>
      <c r="G20" s="5">
        <v>17321</v>
      </c>
    </row>
    <row r="21" spans="2:7" ht="18.75" x14ac:dyDescent="0.25">
      <c r="B21" s="9" t="s">
        <v>124</v>
      </c>
      <c r="C21" s="7">
        <f>C9+C13+C19+C20</f>
        <v>184798</v>
      </c>
      <c r="D21" s="7">
        <f t="shared" ref="D21:G21" si="4">D9+D13+D19+D20</f>
        <v>204052</v>
      </c>
      <c r="E21" s="7">
        <f t="shared" si="4"/>
        <v>187194</v>
      </c>
      <c r="F21" s="7">
        <f t="shared" si="4"/>
        <v>192815</v>
      </c>
      <c r="G21" s="7">
        <f t="shared" si="4"/>
        <v>222868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79330</v>
      </c>
      <c r="D23" s="5">
        <v>95515</v>
      </c>
      <c r="E23" s="5">
        <v>88022</v>
      </c>
      <c r="F23" s="5">
        <v>89429</v>
      </c>
      <c r="G23" s="5">
        <v>109345</v>
      </c>
    </row>
    <row r="24" spans="2:7" ht="18.75" x14ac:dyDescent="0.25">
      <c r="B24" s="8" t="s">
        <v>27</v>
      </c>
      <c r="C24" s="4">
        <v>949</v>
      </c>
      <c r="D24" s="5">
        <v>882</v>
      </c>
      <c r="E24" s="4">
        <v>882</v>
      </c>
      <c r="F24" s="4">
        <v>1041</v>
      </c>
      <c r="G24" s="4">
        <v>0</v>
      </c>
    </row>
    <row r="25" spans="2:7" ht="18.75" x14ac:dyDescent="0.25">
      <c r="B25" s="8" t="s">
        <v>125</v>
      </c>
      <c r="C25" s="4"/>
      <c r="D25" s="5">
        <f>'Income Statement'!D18</f>
        <v>8192</v>
      </c>
      <c r="E25" s="5">
        <f>'Income Statement'!E18+D25</f>
        <v>17285</v>
      </c>
      <c r="F25" s="5">
        <f>'Income Statement'!F18+E25</f>
        <v>24923</v>
      </c>
      <c r="G25" s="5">
        <f>'Income Statement'!G18+F25</f>
        <v>33818</v>
      </c>
    </row>
    <row r="26" spans="2:7" ht="18.75" x14ac:dyDescent="0.25">
      <c r="B26" s="9" t="s">
        <v>126</v>
      </c>
      <c r="C26" s="7">
        <f>C23+C24-C25</f>
        <v>80279</v>
      </c>
      <c r="D26" s="7">
        <f t="shared" ref="D26:G26" si="5">D23+D24-D25</f>
        <v>88205</v>
      </c>
      <c r="E26" s="7">
        <f t="shared" si="5"/>
        <v>71619</v>
      </c>
      <c r="F26" s="7">
        <f t="shared" si="5"/>
        <v>65547</v>
      </c>
      <c r="G26" s="7">
        <f t="shared" si="5"/>
        <v>75527</v>
      </c>
    </row>
    <row r="27" spans="2:7" ht="18.75" x14ac:dyDescent="0.25">
      <c r="B27" s="8" t="s">
        <v>30</v>
      </c>
      <c r="C27" s="4">
        <v>164</v>
      </c>
      <c r="D27" s="4">
        <v>4891</v>
      </c>
      <c r="E27" s="4">
        <v>95</v>
      </c>
      <c r="F27" s="5">
        <v>156</v>
      </c>
      <c r="G27" s="4">
        <v>151</v>
      </c>
    </row>
    <row r="28" spans="2:7" ht="18.75" x14ac:dyDescent="0.25">
      <c r="B28" s="8" t="s">
        <v>36</v>
      </c>
      <c r="C28" s="5">
        <v>28536</v>
      </c>
      <c r="D28" s="5">
        <v>28174</v>
      </c>
      <c r="E28" s="5">
        <v>24658</v>
      </c>
      <c r="F28" s="5">
        <v>16504</v>
      </c>
      <c r="G28" s="5">
        <v>17140</v>
      </c>
    </row>
    <row r="29" spans="2:7" ht="18.75" x14ac:dyDescent="0.25">
      <c r="B29" s="8" t="s">
        <v>28</v>
      </c>
      <c r="C29" s="4">
        <v>32055</v>
      </c>
      <c r="D29" s="5">
        <v>22236</v>
      </c>
      <c r="E29" s="5">
        <v>16837</v>
      </c>
      <c r="F29" s="5">
        <v>13880</v>
      </c>
      <c r="G29" s="5">
        <v>0</v>
      </c>
    </row>
    <row r="30" spans="2:7" ht="18.75" x14ac:dyDescent="0.25">
      <c r="B30" s="9" t="s">
        <v>127</v>
      </c>
      <c r="C30" s="7">
        <f>C26+C27+C28+C29</f>
        <v>141034</v>
      </c>
      <c r="D30" s="7">
        <f t="shared" ref="D30:G30" si="6">D26+D27+D28+D29</f>
        <v>143506</v>
      </c>
      <c r="E30" s="7">
        <f t="shared" si="6"/>
        <v>113209</v>
      </c>
      <c r="F30" s="7">
        <f t="shared" si="6"/>
        <v>96087</v>
      </c>
      <c r="G30" s="7">
        <f t="shared" si="6"/>
        <v>92818</v>
      </c>
    </row>
    <row r="31" spans="2:7" ht="18.75" x14ac:dyDescent="0.25">
      <c r="B31" s="8" t="s">
        <v>31</v>
      </c>
      <c r="C31" s="5">
        <v>4934</v>
      </c>
      <c r="D31" s="5">
        <v>3475</v>
      </c>
      <c r="E31" s="5">
        <v>6889</v>
      </c>
      <c r="F31" s="5">
        <v>5860</v>
      </c>
      <c r="G31" s="5">
        <v>5085</v>
      </c>
    </row>
    <row r="32" spans="2:7" ht="18.75" x14ac:dyDescent="0.25">
      <c r="B32" s="8" t="s">
        <v>32</v>
      </c>
      <c r="C32" s="5">
        <v>23</v>
      </c>
      <c r="D32" s="5">
        <v>20</v>
      </c>
      <c r="E32" s="4">
        <v>17</v>
      </c>
      <c r="F32" s="4">
        <v>5069</v>
      </c>
      <c r="G32" s="4">
        <v>3166</v>
      </c>
    </row>
    <row r="33" spans="2:7" ht="18.75" x14ac:dyDescent="0.25">
      <c r="B33" s="8" t="s">
        <v>33</v>
      </c>
      <c r="C33" s="5">
        <v>12229</v>
      </c>
      <c r="D33" s="5">
        <v>12473</v>
      </c>
      <c r="E33" s="5">
        <v>11612</v>
      </c>
      <c r="F33" s="5">
        <v>11636</v>
      </c>
      <c r="G33" s="5">
        <v>12278</v>
      </c>
    </row>
    <row r="34" spans="2:7" ht="18.75" x14ac:dyDescent="0.25">
      <c r="B34" s="8" t="s">
        <v>40</v>
      </c>
      <c r="C34" s="5">
        <v>82</v>
      </c>
      <c r="D34" s="5">
        <v>82</v>
      </c>
      <c r="E34" s="4">
        <v>85</v>
      </c>
      <c r="F34" s="4">
        <v>2019</v>
      </c>
      <c r="G34" s="4">
        <v>2304</v>
      </c>
    </row>
    <row r="35" spans="2:7" ht="18.75" x14ac:dyDescent="0.25">
      <c r="B35" s="8" t="s">
        <v>41</v>
      </c>
      <c r="C35" s="5">
        <v>5344</v>
      </c>
      <c r="D35" s="5">
        <v>6023</v>
      </c>
      <c r="E35" s="5">
        <v>6243</v>
      </c>
      <c r="F35" s="5">
        <v>7626</v>
      </c>
      <c r="G35" s="5">
        <v>14280</v>
      </c>
    </row>
    <row r="36" spans="2:7" ht="18.75" x14ac:dyDescent="0.25">
      <c r="B36" s="8" t="s">
        <v>37</v>
      </c>
      <c r="C36" s="5">
        <v>11967</v>
      </c>
      <c r="D36" s="5">
        <v>13198</v>
      </c>
      <c r="E36" s="5">
        <v>11335</v>
      </c>
      <c r="F36" s="5">
        <v>9923</v>
      </c>
      <c r="G36" s="5">
        <v>14313</v>
      </c>
    </row>
    <row r="37" spans="2:7" ht="18.75" x14ac:dyDescent="0.25">
      <c r="B37" s="8" t="s">
        <v>38</v>
      </c>
      <c r="C37" s="5">
        <v>3969</v>
      </c>
      <c r="D37" s="5">
        <v>3982</v>
      </c>
      <c r="E37" s="5">
        <v>2697</v>
      </c>
      <c r="F37" s="5">
        <v>3491</v>
      </c>
      <c r="G37" s="5">
        <v>4946</v>
      </c>
    </row>
    <row r="38" spans="2:7" ht="18.75" x14ac:dyDescent="0.25">
      <c r="B38" s="8" t="s">
        <v>39</v>
      </c>
      <c r="C38" s="5">
        <v>5216</v>
      </c>
      <c r="D38" s="5">
        <f>'CashFlow Statement'!D48+C38</f>
        <v>21293</v>
      </c>
      <c r="E38" s="5">
        <f>'CashFlow Statement'!E48+D38</f>
        <v>35107</v>
      </c>
      <c r="F38" s="5">
        <f>'CashFlow Statement'!F48+E38</f>
        <v>51104</v>
      </c>
      <c r="G38" s="5">
        <f>'CashFlow Statement'!G48+F38</f>
        <v>73678</v>
      </c>
    </row>
    <row r="39" spans="2:7" ht="18.75" x14ac:dyDescent="0.25">
      <c r="B39" s="9" t="s">
        <v>42</v>
      </c>
      <c r="C39" s="7">
        <f>C31+C32+C33+C34+C35+C36+C37+C38</f>
        <v>43764</v>
      </c>
      <c r="D39" s="7">
        <f t="shared" ref="D39:G39" si="7">D31+D32+D33+D34+D35+D36+D37+D38</f>
        <v>60546</v>
      </c>
      <c r="E39" s="7">
        <f t="shared" si="7"/>
        <v>73985</v>
      </c>
      <c r="F39" s="7">
        <f t="shared" si="7"/>
        <v>96728</v>
      </c>
      <c r="G39" s="7">
        <f t="shared" si="7"/>
        <v>130050</v>
      </c>
    </row>
    <row r="40" spans="2:7" ht="18.75" x14ac:dyDescent="0.25">
      <c r="B40" s="9" t="s">
        <v>43</v>
      </c>
      <c r="C40" s="7">
        <f>C30+C39</f>
        <v>184798</v>
      </c>
      <c r="D40" s="7">
        <f t="shared" ref="D40:G40" si="8">D30+D39</f>
        <v>204052</v>
      </c>
      <c r="E40" s="7">
        <f t="shared" si="8"/>
        <v>187194</v>
      </c>
      <c r="F40" s="7">
        <f t="shared" si="8"/>
        <v>192815</v>
      </c>
      <c r="G40" s="7">
        <f t="shared" si="8"/>
        <v>222868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42CAF-4C11-40E3-A455-3408BD705F7A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184798</v>
      </c>
      <c r="D5" s="16">
        <f>'Balance Sheet'!D21</f>
        <v>204052</v>
      </c>
      <c r="E5" s="16">
        <f>'Balance Sheet'!E21</f>
        <v>187194</v>
      </c>
      <c r="F5" s="16">
        <f>'Balance Sheet'!F21</f>
        <v>192815</v>
      </c>
      <c r="G5" s="16">
        <f>'Balance Sheet'!G21</f>
        <v>222868</v>
      </c>
    </row>
    <row r="6" spans="2:7" ht="18.75" x14ac:dyDescent="0.25">
      <c r="B6" s="15" t="str">
        <f>'Balance Sheet'!B13</f>
        <v>Total Debt</v>
      </c>
      <c r="C6" s="16">
        <f>'Balance Sheet'!C13</f>
        <v>52818</v>
      </c>
      <c r="D6" s="16">
        <f>'Balance Sheet'!D13</f>
        <v>62185</v>
      </c>
      <c r="E6" s="16">
        <f>'Balance Sheet'!E13</f>
        <v>61628</v>
      </c>
      <c r="F6" s="16">
        <f>'Balance Sheet'!F13</f>
        <v>51873</v>
      </c>
      <c r="G6" s="16">
        <f>'Balance Sheet'!G13</f>
        <v>57544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8FD17-9C97-4CEB-84E5-E692FC4EA7DA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184798</v>
      </c>
      <c r="D5" s="16">
        <f>'Balance Sheet'!D21</f>
        <v>204052</v>
      </c>
      <c r="E5" s="16">
        <f>'Balance Sheet'!E21</f>
        <v>187194</v>
      </c>
      <c r="F5" s="16">
        <f>'Balance Sheet'!F21</f>
        <v>192815</v>
      </c>
      <c r="G5" s="16">
        <f>'Balance Sheet'!G21</f>
        <v>222868</v>
      </c>
    </row>
    <row r="6" spans="2:7" ht="18.75" x14ac:dyDescent="0.25">
      <c r="B6" s="15" t="str">
        <f>'Balance Sheet'!B19</f>
        <v>Total Current Liabilities</v>
      </c>
      <c r="C6" s="16">
        <f>'Balance Sheet'!C19</f>
        <v>52515</v>
      </c>
      <c r="D6" s="16">
        <f>'Balance Sheet'!D19</f>
        <v>62332</v>
      </c>
      <c r="E6" s="16">
        <f>'Balance Sheet'!E19</f>
        <v>50245</v>
      </c>
      <c r="F6" s="16">
        <f>'Balance Sheet'!F19</f>
        <v>56406</v>
      </c>
      <c r="G6" s="16">
        <f>'Balance Sheet'!G19</f>
        <v>58352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7BBC3-FF3D-47D9-8F05-6B67525B510E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184798</v>
      </c>
      <c r="D5" s="16">
        <f>'Balance Sheet'!D40</f>
        <v>204052</v>
      </c>
      <c r="E5" s="16">
        <f>'Balance Sheet'!E40</f>
        <v>187194</v>
      </c>
      <c r="F5" s="16">
        <f>'Balance Sheet'!F40</f>
        <v>192815</v>
      </c>
      <c r="G5" s="16">
        <f>'Balance Sheet'!G40</f>
        <v>222868</v>
      </c>
    </row>
    <row r="6" spans="2:7" ht="18.75" x14ac:dyDescent="0.25">
      <c r="B6" s="15" t="str">
        <f>'Balance Sheet'!B30</f>
        <v>Total Non Current Assets</v>
      </c>
      <c r="C6" s="16">
        <f>'Balance Sheet'!C30</f>
        <v>141034</v>
      </c>
      <c r="D6" s="16">
        <f>'Balance Sheet'!D30</f>
        <v>143506</v>
      </c>
      <c r="E6" s="16">
        <f>'Balance Sheet'!E30</f>
        <v>113209</v>
      </c>
      <c r="F6" s="16">
        <f>'Balance Sheet'!F30</f>
        <v>96087</v>
      </c>
      <c r="G6" s="16">
        <f>'Balance Sheet'!G30</f>
        <v>92818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BB064-BEC4-4914-B9F8-0EA98B0D3EB9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184798</v>
      </c>
      <c r="D5" s="16">
        <f>'Balance Sheet'!D40</f>
        <v>204052</v>
      </c>
      <c r="E5" s="16">
        <f>'Balance Sheet'!E40</f>
        <v>187194</v>
      </c>
      <c r="F5" s="16">
        <f>'Balance Sheet'!F40</f>
        <v>192815</v>
      </c>
      <c r="G5" s="16">
        <f>'Balance Sheet'!G40</f>
        <v>222868</v>
      </c>
    </row>
    <row r="6" spans="2:7" ht="18.75" x14ac:dyDescent="0.25">
      <c r="B6" s="15" t="str">
        <f>'Balance Sheet'!B39</f>
        <v>Total Current Assets</v>
      </c>
      <c r="C6" s="16">
        <f>'Balance Sheet'!C39</f>
        <v>43764</v>
      </c>
      <c r="D6" s="16">
        <f>'Balance Sheet'!D39</f>
        <v>60546</v>
      </c>
      <c r="E6" s="16">
        <f>'Balance Sheet'!E39</f>
        <v>73985</v>
      </c>
      <c r="F6" s="16">
        <f>'Balance Sheet'!F39</f>
        <v>96728</v>
      </c>
      <c r="G6" s="16">
        <f>'Balance Sheet'!G39</f>
        <v>130050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E25BC-6D4D-487D-B3C6-421D519529B6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6" width="13.140625" bestFit="1" customWidth="1"/>
    <col min="7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Statement'!B15</f>
        <v>Total Expenditure</v>
      </c>
      <c r="C5" s="16">
        <f>'Income Statement'!C15</f>
        <v>66032</v>
      </c>
      <c r="D5" s="16">
        <f>'Income Statement'!D15</f>
        <v>68285</v>
      </c>
      <c r="E5" s="16">
        <f>'Income Statement'!E15</f>
        <v>62518</v>
      </c>
      <c r="F5" s="16">
        <f>'Income Statement'!F15</f>
        <v>59870</v>
      </c>
      <c r="G5" s="16">
        <f>'Income Statement'!G15</f>
        <v>89824</v>
      </c>
    </row>
    <row r="6" spans="2:7" ht="18.75" x14ac:dyDescent="0.25">
      <c r="B6" s="15" t="str">
        <f>'Income Statement'!B10</f>
        <v>Total Income</v>
      </c>
      <c r="C6" s="16">
        <f>'Income Statement'!C10</f>
        <v>94528</v>
      </c>
      <c r="D6" s="16">
        <f>'Income Statement'!D10</f>
        <v>94919</v>
      </c>
      <c r="E6" s="16">
        <f>'Income Statement'!E10</f>
        <v>86055</v>
      </c>
      <c r="F6" s="16">
        <f>'Income Statement'!F10</f>
        <v>90284</v>
      </c>
      <c r="G6" s="16">
        <f>'Income Statement'!G10</f>
        <v>133792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52818-2C73-4030-BB49-5C4B244DB3AE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3" width="13.140625" bestFit="1" customWidth="1"/>
    <col min="4" max="4" width="11.5703125" bestFit="1" customWidth="1"/>
    <col min="5" max="5" width="12.5703125" bestFit="1" customWidth="1"/>
    <col min="6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Statement'!B30</f>
        <v>Amount C\F to Balance Sheet</v>
      </c>
      <c r="C5" s="16">
        <f>'Income Statement'!C30</f>
        <v>3988</v>
      </c>
      <c r="D5" s="16">
        <f>'Income Statement'!D30</f>
        <v>800</v>
      </c>
      <c r="E5" s="16">
        <f>'Income Statement'!E30</f>
        <v>-6099</v>
      </c>
      <c r="F5" s="16">
        <f>'Income Statement'!F30</f>
        <v>11189</v>
      </c>
      <c r="G5" s="16">
        <f>'Income Statement'!G30</f>
        <v>20253</v>
      </c>
    </row>
    <row r="6" spans="2:7" ht="18.75" x14ac:dyDescent="0.25">
      <c r="B6" s="15" t="str">
        <f>'Income Statement'!B27</f>
        <v>Reported Net Profit(PAT)</v>
      </c>
      <c r="C6" s="16">
        <f>'Income Statement'!C27</f>
        <v>13450</v>
      </c>
      <c r="D6" s="16">
        <f>'Income Statement'!D27</f>
        <v>9211</v>
      </c>
      <c r="E6" s="16">
        <f>'Income Statement'!E27</f>
        <v>-4403</v>
      </c>
      <c r="F6" s="16">
        <f>'Income Statement'!F27</f>
        <v>14708</v>
      </c>
      <c r="G6" s="16">
        <f>'Income Statement'!G27</f>
        <v>20253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96129-BC65-4D79-BAB2-6D5C37E44C54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4" width="16.5703125" bestFit="1" customWidth="1"/>
    <col min="5" max="5" width="15.42578125" bestFit="1" customWidth="1"/>
    <col min="6" max="6" width="16.5703125" bestFit="1" customWidth="1"/>
    <col min="7" max="7" width="15.42578125" bestFit="1" customWidth="1"/>
  </cols>
  <sheetData>
    <row r="3" spans="2:7" ht="18.75" x14ac:dyDescent="0.25">
      <c r="B3" s="10" t="s">
        <v>143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129</v>
      </c>
      <c r="C5" s="4"/>
      <c r="D5" s="5">
        <f>'Income Statement'!D25</f>
        <v>13073</v>
      </c>
      <c r="E5" s="5">
        <f>'Income Statement'!E25</f>
        <v>-7919</v>
      </c>
      <c r="F5" s="5">
        <f>'Income Statement'!F25</f>
        <v>16888</v>
      </c>
      <c r="G5" s="5">
        <f>'Income Statement'!G25</f>
        <v>29508</v>
      </c>
    </row>
    <row r="6" spans="2:7" ht="18.75" x14ac:dyDescent="0.25">
      <c r="B6" s="8" t="s">
        <v>130</v>
      </c>
      <c r="C6" s="4"/>
      <c r="D6" s="4"/>
      <c r="E6" s="4"/>
      <c r="F6" s="4"/>
      <c r="G6" s="4"/>
    </row>
    <row r="7" spans="2:7" ht="18.75" x14ac:dyDescent="0.25">
      <c r="B7" s="8" t="s">
        <v>125</v>
      </c>
      <c r="C7" s="4"/>
      <c r="D7" s="5">
        <f>'Income Statement'!D18</f>
        <v>8192</v>
      </c>
      <c r="E7" s="5">
        <f>'Income Statement'!E18</f>
        <v>9093</v>
      </c>
      <c r="F7" s="5">
        <f>'Income Statement'!F18</f>
        <v>7638</v>
      </c>
      <c r="G7" s="5">
        <f>'Income Statement'!G18</f>
        <v>8895</v>
      </c>
    </row>
    <row r="8" spans="2:7" ht="18.75" x14ac:dyDescent="0.25">
      <c r="B8" s="8" t="s">
        <v>131</v>
      </c>
      <c r="C8" s="4"/>
      <c r="D8" s="5">
        <f>'Income Statement'!D20</f>
        <v>5689</v>
      </c>
      <c r="E8" s="5">
        <f>'Income Statement'!E20</f>
        <v>4977</v>
      </c>
      <c r="F8" s="5">
        <f>'Income Statement'!F20</f>
        <v>5210</v>
      </c>
      <c r="G8" s="5">
        <f>'Income Statement'!G20</f>
        <v>4797</v>
      </c>
    </row>
    <row r="9" spans="2:7" ht="18.75" x14ac:dyDescent="0.25">
      <c r="B9" s="8" t="s">
        <v>59</v>
      </c>
      <c r="C9" s="4"/>
      <c r="D9" s="5">
        <f>'Income Statement'!D8</f>
        <v>4018</v>
      </c>
      <c r="E9" s="5">
        <f>'Income Statement'!E8</f>
        <v>2510</v>
      </c>
      <c r="F9" s="5">
        <f>'Income Statement'!F8</f>
        <v>3421</v>
      </c>
      <c r="G9" s="5">
        <f>'Income Statement'!G8</f>
        <v>2600</v>
      </c>
    </row>
    <row r="10" spans="2:7" ht="18.75" x14ac:dyDescent="0.25">
      <c r="B10" s="9" t="s">
        <v>132</v>
      </c>
      <c r="C10" s="6"/>
      <c r="D10" s="7">
        <f>D7+D8-D9</f>
        <v>9863</v>
      </c>
      <c r="E10" s="7">
        <f t="shared" ref="E10:G10" si="0">E7+E8-E9</f>
        <v>11560</v>
      </c>
      <c r="F10" s="7">
        <f t="shared" si="0"/>
        <v>9427</v>
      </c>
      <c r="G10" s="7">
        <f t="shared" si="0"/>
        <v>11092</v>
      </c>
    </row>
    <row r="11" spans="2:7" ht="18.75" x14ac:dyDescent="0.25">
      <c r="B11" s="8" t="s">
        <v>133</v>
      </c>
      <c r="C11" s="4"/>
      <c r="D11" s="4"/>
      <c r="E11" s="4"/>
      <c r="F11" s="4"/>
      <c r="G11" s="4"/>
    </row>
    <row r="12" spans="2:7" ht="18.75" x14ac:dyDescent="0.25">
      <c r="B12" s="8" t="str">
        <f>'Balance Sheet'!B31</f>
        <v>Deferred Tax Assets [Net]</v>
      </c>
      <c r="C12" s="4"/>
      <c r="D12" s="5">
        <f>'Balance Sheet'!C31-'Balance Sheet'!D31</f>
        <v>1459</v>
      </c>
      <c r="E12" s="5">
        <f>'Balance Sheet'!D31-'Balance Sheet'!E31</f>
        <v>-3414</v>
      </c>
      <c r="F12" s="5">
        <f>'Balance Sheet'!E31-'Balance Sheet'!F31</f>
        <v>1029</v>
      </c>
      <c r="G12" s="5">
        <f>'Balance Sheet'!F31-'Balance Sheet'!G31</f>
        <v>775</v>
      </c>
    </row>
    <row r="13" spans="2:7" ht="18.75" x14ac:dyDescent="0.25">
      <c r="B13" s="8" t="str">
        <f>'Balance Sheet'!B32</f>
        <v>Long Term Loans And Advances</v>
      </c>
      <c r="C13" s="4"/>
      <c r="D13" s="5">
        <f>'Balance Sheet'!C32-'Balance Sheet'!D32</f>
        <v>3</v>
      </c>
      <c r="E13" s="5">
        <f>'Balance Sheet'!D32-'Balance Sheet'!E32</f>
        <v>3</v>
      </c>
      <c r="F13" s="5">
        <f>'Balance Sheet'!E32-'Balance Sheet'!F32</f>
        <v>-5052</v>
      </c>
      <c r="G13" s="5">
        <f>'Balance Sheet'!F32-'Balance Sheet'!G32</f>
        <v>1903</v>
      </c>
    </row>
    <row r="14" spans="2:7" ht="18.75" x14ac:dyDescent="0.25">
      <c r="B14" s="8" t="str">
        <f>'Balance Sheet'!B33</f>
        <v>Other Non-Current Assets</v>
      </c>
      <c r="C14" s="4"/>
      <c r="D14" s="5">
        <f>'Balance Sheet'!C33-'Balance Sheet'!D33</f>
        <v>-244</v>
      </c>
      <c r="E14" s="5">
        <f>'Balance Sheet'!D33-'Balance Sheet'!E33</f>
        <v>861</v>
      </c>
      <c r="F14" s="5">
        <f>'Balance Sheet'!E33-'Balance Sheet'!F33</f>
        <v>-24</v>
      </c>
      <c r="G14" s="5">
        <f>'Balance Sheet'!F33-'Balance Sheet'!G33</f>
        <v>-642</v>
      </c>
    </row>
    <row r="15" spans="2:7" ht="18.75" x14ac:dyDescent="0.25">
      <c r="B15" s="8" t="str">
        <f>'Balance Sheet'!B34</f>
        <v>Short Term Loans And Advances</v>
      </c>
      <c r="C15" s="4"/>
      <c r="D15" s="5">
        <f>'Balance Sheet'!C34-'Balance Sheet'!D34</f>
        <v>0</v>
      </c>
      <c r="E15" s="5">
        <f>'Balance Sheet'!D34-'Balance Sheet'!E34</f>
        <v>-3</v>
      </c>
      <c r="F15" s="5">
        <f>'Balance Sheet'!E34-'Balance Sheet'!F34</f>
        <v>-1934</v>
      </c>
      <c r="G15" s="5">
        <f>'Balance Sheet'!F34-'Balance Sheet'!G34</f>
        <v>-285</v>
      </c>
    </row>
    <row r="16" spans="2:7" ht="18.75" x14ac:dyDescent="0.25">
      <c r="B16" s="8" t="str">
        <f>'Balance Sheet'!B35</f>
        <v>OtherCurrentAssets</v>
      </c>
      <c r="C16" s="4"/>
      <c r="D16" s="5">
        <f>'Balance Sheet'!C35-'Balance Sheet'!D35</f>
        <v>-679</v>
      </c>
      <c r="E16" s="5">
        <f>'Balance Sheet'!D35-'Balance Sheet'!E35</f>
        <v>-220</v>
      </c>
      <c r="F16" s="5">
        <f>'Balance Sheet'!E35-'Balance Sheet'!F35</f>
        <v>-1383</v>
      </c>
      <c r="G16" s="5">
        <f>'Balance Sheet'!F35-'Balance Sheet'!G35</f>
        <v>-6654</v>
      </c>
    </row>
    <row r="17" spans="2:7" ht="18.75" x14ac:dyDescent="0.25">
      <c r="B17" s="8" t="str">
        <f>'Balance Sheet'!B36</f>
        <v>Inventories</v>
      </c>
      <c r="C17" s="4"/>
      <c r="D17" s="5">
        <f>'Balance Sheet'!C36-'Balance Sheet'!D36</f>
        <v>-1231</v>
      </c>
      <c r="E17" s="5">
        <f>'Balance Sheet'!D36-'Balance Sheet'!E36</f>
        <v>1863</v>
      </c>
      <c r="F17" s="5">
        <f>'Balance Sheet'!E36-'Balance Sheet'!F36</f>
        <v>1412</v>
      </c>
      <c r="G17" s="5">
        <f>'Balance Sheet'!F36-'Balance Sheet'!G36</f>
        <v>-4390</v>
      </c>
    </row>
    <row r="18" spans="2:7" ht="18.75" x14ac:dyDescent="0.25">
      <c r="B18" s="8" t="str">
        <f>'Balance Sheet'!B37</f>
        <v>Trade Receivables</v>
      </c>
      <c r="C18" s="4"/>
      <c r="D18" s="5">
        <f>'Balance Sheet'!C37-'Balance Sheet'!D37</f>
        <v>-13</v>
      </c>
      <c r="E18" s="5">
        <f>'Balance Sheet'!D37-'Balance Sheet'!E37</f>
        <v>1285</v>
      </c>
      <c r="F18" s="5">
        <f>'Balance Sheet'!E37-'Balance Sheet'!F37</f>
        <v>-794</v>
      </c>
      <c r="G18" s="5">
        <f>'Balance Sheet'!F37-'Balance Sheet'!G37</f>
        <v>-1455</v>
      </c>
    </row>
    <row r="19" spans="2:7" ht="18.75" x14ac:dyDescent="0.25">
      <c r="B19" s="8" t="s">
        <v>134</v>
      </c>
      <c r="C19" s="4"/>
      <c r="D19" s="4"/>
      <c r="E19" s="4"/>
      <c r="F19" s="4"/>
      <c r="G19" s="4"/>
    </row>
    <row r="20" spans="2:7" ht="18.75" x14ac:dyDescent="0.25">
      <c r="B20" s="8" t="str">
        <f>'Balance Sheet'!B14</f>
        <v>Long Term Provisions</v>
      </c>
      <c r="C20" s="4"/>
      <c r="D20" s="5">
        <f>'Balance Sheet'!D14-'Balance Sheet'!C14</f>
        <v>235</v>
      </c>
      <c r="E20" s="5">
        <f>'Balance Sheet'!E14-'Balance Sheet'!D14</f>
        <v>232</v>
      </c>
      <c r="F20" s="5">
        <f>'Balance Sheet'!F14-'Balance Sheet'!E14</f>
        <v>304</v>
      </c>
      <c r="G20" s="5">
        <f>'Balance Sheet'!G14-'Balance Sheet'!F14</f>
        <v>254</v>
      </c>
    </row>
    <row r="21" spans="2:7" ht="18.75" x14ac:dyDescent="0.25">
      <c r="B21" s="8" t="str">
        <f>'Balance Sheet'!B15</f>
        <v>Short Term Provisions</v>
      </c>
      <c r="C21" s="4"/>
      <c r="D21" s="4">
        <f>'Balance Sheet'!D15-'Balance Sheet'!C15</f>
        <v>-23</v>
      </c>
      <c r="E21" s="4">
        <f>'Balance Sheet'!E15-'Balance Sheet'!D15</f>
        <v>-32</v>
      </c>
      <c r="F21" s="4">
        <f>'Balance Sheet'!F15-'Balance Sheet'!E15</f>
        <v>-2</v>
      </c>
      <c r="G21" s="4">
        <f>'Balance Sheet'!G15-'Balance Sheet'!F15</f>
        <v>64</v>
      </c>
    </row>
    <row r="22" spans="2:7" ht="18.75" x14ac:dyDescent="0.25">
      <c r="B22" s="8" t="str">
        <f>'Balance Sheet'!B16</f>
        <v>Other Long Term Liabilities</v>
      </c>
      <c r="C22" s="4"/>
      <c r="D22" s="5">
        <f>'Balance Sheet'!D16-'Balance Sheet'!C16</f>
        <v>1219</v>
      </c>
      <c r="E22" s="5">
        <f>'Balance Sheet'!E16-'Balance Sheet'!D16</f>
        <v>39</v>
      </c>
      <c r="F22" s="5">
        <f>'Balance Sheet'!F16-'Balance Sheet'!E16</f>
        <v>-268</v>
      </c>
      <c r="G22" s="5">
        <f>'Balance Sheet'!G16-'Balance Sheet'!F16</f>
        <v>309</v>
      </c>
    </row>
    <row r="23" spans="2:7" ht="18.75" x14ac:dyDescent="0.25">
      <c r="B23" s="8" t="str">
        <f>'Balance Sheet'!B17</f>
        <v>Trade Payables</v>
      </c>
      <c r="C23" s="4"/>
      <c r="D23" s="5">
        <f>'Balance Sheet'!D17-'Balance Sheet'!C17</f>
        <v>-491</v>
      </c>
      <c r="E23" s="5">
        <f>'Balance Sheet'!E17-'Balance Sheet'!D17</f>
        <v>-9325</v>
      </c>
      <c r="F23" s="5">
        <f>'Balance Sheet'!F17-'Balance Sheet'!E17</f>
        <v>-135</v>
      </c>
      <c r="G23" s="5">
        <f>'Balance Sheet'!G17-'Balance Sheet'!F17</f>
        <v>2646</v>
      </c>
    </row>
    <row r="24" spans="2:7" ht="18.75" x14ac:dyDescent="0.25">
      <c r="B24" s="8" t="str">
        <f>'Balance Sheet'!B18</f>
        <v>Other Current Liabilities</v>
      </c>
      <c r="C24" s="4"/>
      <c r="D24" s="5">
        <f>'Balance Sheet'!D18-'Balance Sheet'!C18</f>
        <v>8877</v>
      </c>
      <c r="E24" s="5">
        <f>'Balance Sheet'!E18-'Balance Sheet'!D18</f>
        <v>-3001</v>
      </c>
      <c r="F24" s="5">
        <f>'Balance Sheet'!F18-'Balance Sheet'!E18</f>
        <v>6262</v>
      </c>
      <c r="G24" s="5">
        <f>'Balance Sheet'!G18-'Balance Sheet'!F18</f>
        <v>-1327</v>
      </c>
    </row>
    <row r="25" spans="2:7" ht="18.75" x14ac:dyDescent="0.25">
      <c r="B25" s="8" t="s">
        <v>103</v>
      </c>
      <c r="C25" s="4"/>
      <c r="D25" s="4"/>
      <c r="E25" s="4"/>
      <c r="F25" s="4"/>
      <c r="G25" s="4"/>
    </row>
    <row r="26" spans="2:7" ht="18.75" x14ac:dyDescent="0.25">
      <c r="B26" s="8" t="str">
        <f>'Income Statement'!B26</f>
        <v>Total Tax Expenses</v>
      </c>
      <c r="C26" s="4"/>
      <c r="D26" s="5">
        <f>'Income Statement'!D26</f>
        <v>3862</v>
      </c>
      <c r="E26" s="5">
        <f>'Income Statement'!E26</f>
        <v>-3516</v>
      </c>
      <c r="F26" s="5">
        <f>'Income Statement'!F26</f>
        <v>2180</v>
      </c>
      <c r="G26" s="5">
        <f>'Income Statement'!G26</f>
        <v>9255</v>
      </c>
    </row>
    <row r="27" spans="2:7" ht="18.75" x14ac:dyDescent="0.25">
      <c r="B27" s="9" t="s">
        <v>135</v>
      </c>
      <c r="C27" s="6"/>
      <c r="D27" s="7">
        <f>D12+D13+D14+D15+D16+D17+D18+D20+D21+D22+D23+D24-D26+D10+D5</f>
        <v>28186</v>
      </c>
      <c r="E27" s="7">
        <f t="shared" ref="E27:G27" si="1">E12+E13+E14+E15+E16+E17+E18+E20+E21+E22+E23+E24-E26+E10+E5</f>
        <v>-4555</v>
      </c>
      <c r="F27" s="7">
        <f t="shared" si="1"/>
        <v>23550</v>
      </c>
      <c r="G27" s="7">
        <f t="shared" si="1"/>
        <v>22543</v>
      </c>
    </row>
    <row r="28" spans="2:7" ht="18.75" x14ac:dyDescent="0.25">
      <c r="B28" s="8" t="s">
        <v>136</v>
      </c>
      <c r="C28" s="4"/>
      <c r="D28" s="4"/>
      <c r="E28" s="4"/>
      <c r="F28" s="4"/>
      <c r="G28" s="4"/>
    </row>
    <row r="29" spans="2:7" ht="18.75" x14ac:dyDescent="0.25">
      <c r="B29" s="8" t="str">
        <f>'Balance Sheet'!B23</f>
        <v>Tangible Assets</v>
      </c>
      <c r="C29" s="4"/>
      <c r="D29" s="5">
        <f>'Balance Sheet'!C23-'Balance Sheet'!D23</f>
        <v>-16185</v>
      </c>
      <c r="E29" s="5">
        <f>'Balance Sheet'!D23-'Balance Sheet'!E23</f>
        <v>7493</v>
      </c>
      <c r="F29" s="5">
        <f>'Balance Sheet'!E23-'Balance Sheet'!F23</f>
        <v>-1407</v>
      </c>
      <c r="G29" s="5">
        <f>'Balance Sheet'!F23-'Balance Sheet'!G23</f>
        <v>-19916</v>
      </c>
    </row>
    <row r="30" spans="2:7" ht="18.75" x14ac:dyDescent="0.25">
      <c r="B30" s="8" t="str">
        <f>'Balance Sheet'!B24</f>
        <v>Intangible Assets</v>
      </c>
      <c r="C30" s="4"/>
      <c r="D30" s="5">
        <f>'Balance Sheet'!C24-'Balance Sheet'!D24</f>
        <v>67</v>
      </c>
      <c r="E30" s="5">
        <f>'Balance Sheet'!D24-'Balance Sheet'!E24</f>
        <v>0</v>
      </c>
      <c r="F30" s="5">
        <f>'Balance Sheet'!E24-'Balance Sheet'!F24</f>
        <v>-159</v>
      </c>
      <c r="G30" s="5">
        <f>'Balance Sheet'!F24-'Balance Sheet'!G24</f>
        <v>1041</v>
      </c>
    </row>
    <row r="31" spans="2:7" ht="18.75" x14ac:dyDescent="0.25">
      <c r="B31" s="8" t="str">
        <f>'Balance Sheet'!B27</f>
        <v>Non-Current Investments</v>
      </c>
      <c r="C31" s="4"/>
      <c r="D31" s="4">
        <f>'Balance Sheet'!C27-'Balance Sheet'!D27</f>
        <v>-4727</v>
      </c>
      <c r="E31" s="4">
        <f>'Balance Sheet'!D27-'Balance Sheet'!E27</f>
        <v>4796</v>
      </c>
      <c r="F31" s="4">
        <f>'Balance Sheet'!E27-'Balance Sheet'!F27</f>
        <v>-61</v>
      </c>
      <c r="G31" s="4">
        <f>'Balance Sheet'!F27-'Balance Sheet'!G27</f>
        <v>5</v>
      </c>
    </row>
    <row r="32" spans="2:7" ht="18.75" x14ac:dyDescent="0.25">
      <c r="B32" s="8" t="str">
        <f>'Balance Sheet'!B28</f>
        <v>Current Investments</v>
      </c>
      <c r="C32" s="4"/>
      <c r="D32" s="5">
        <f>'Balance Sheet'!C28-'Balance Sheet'!D28</f>
        <v>362</v>
      </c>
      <c r="E32" s="5">
        <f>'Balance Sheet'!D28-'Balance Sheet'!E28</f>
        <v>3516</v>
      </c>
      <c r="F32" s="5">
        <f>'Balance Sheet'!E28-'Balance Sheet'!F28</f>
        <v>8154</v>
      </c>
      <c r="G32" s="5">
        <f>'Balance Sheet'!F28-'Balance Sheet'!G28</f>
        <v>-636</v>
      </c>
    </row>
    <row r="33" spans="2:7" ht="18.75" x14ac:dyDescent="0.25">
      <c r="B33" s="8" t="str">
        <f>'Balance Sheet'!B29</f>
        <v>Capital Work-In-Progress</v>
      </c>
      <c r="C33" s="4"/>
      <c r="D33" s="5">
        <f>'Balance Sheet'!C29-'Balance Sheet'!D29</f>
        <v>9819</v>
      </c>
      <c r="E33" s="5">
        <f>'Balance Sheet'!D29-'Balance Sheet'!E29</f>
        <v>5399</v>
      </c>
      <c r="F33" s="5">
        <f>'Balance Sheet'!E29-'Balance Sheet'!F29</f>
        <v>2957</v>
      </c>
      <c r="G33" s="5">
        <f>'Balance Sheet'!F29-'Balance Sheet'!G29</f>
        <v>13880</v>
      </c>
    </row>
    <row r="34" spans="2:7" ht="18.75" x14ac:dyDescent="0.25">
      <c r="B34" s="8" t="s">
        <v>59</v>
      </c>
      <c r="C34" s="4"/>
      <c r="D34" s="5">
        <f>'Income Statement'!D8</f>
        <v>4018</v>
      </c>
      <c r="E34" s="5">
        <f>'Income Statement'!E8</f>
        <v>2510</v>
      </c>
      <c r="F34" s="5">
        <f>'Income Statement'!F8</f>
        <v>3421</v>
      </c>
      <c r="G34" s="5">
        <f>'Income Statement'!G8</f>
        <v>2600</v>
      </c>
    </row>
    <row r="35" spans="2:7" ht="18.75" x14ac:dyDescent="0.25">
      <c r="B35" s="9" t="s">
        <v>137</v>
      </c>
      <c r="C35" s="6"/>
      <c r="D35" s="7">
        <f>D29+D30+D31+D32+D33+D34</f>
        <v>-6646</v>
      </c>
      <c r="E35" s="7">
        <f t="shared" ref="E35:G35" si="2">E29+E30+E31+E32+E33+E34</f>
        <v>23714</v>
      </c>
      <c r="F35" s="7">
        <f t="shared" si="2"/>
        <v>12905</v>
      </c>
      <c r="G35" s="7">
        <f t="shared" si="2"/>
        <v>-3026</v>
      </c>
    </row>
    <row r="36" spans="2:7" ht="18.75" x14ac:dyDescent="0.25">
      <c r="B36" s="8" t="s">
        <v>138</v>
      </c>
      <c r="C36" s="4"/>
      <c r="D36" s="4"/>
      <c r="E36" s="4"/>
      <c r="F36" s="4"/>
      <c r="G36" s="4"/>
    </row>
    <row r="37" spans="2:7" ht="18.75" x14ac:dyDescent="0.25">
      <c r="B37" s="8" t="str">
        <f>'Balance Sheet'!B5</f>
        <v>Equity Share Capital</v>
      </c>
      <c r="C37" s="4"/>
      <c r="D37" s="4">
        <f>'Balance Sheet'!D5-'Balance Sheet'!C5</f>
        <v>0</v>
      </c>
      <c r="E37" s="4">
        <f>'Balance Sheet'!E5-'Balance Sheet'!D5</f>
        <v>0</v>
      </c>
      <c r="F37" s="4">
        <f>'Balance Sheet'!F5-'Balance Sheet'!E5</f>
        <v>0</v>
      </c>
      <c r="G37" s="4">
        <f>'Balance Sheet'!G5-'Balance Sheet'!F5</f>
        <v>0</v>
      </c>
    </row>
    <row r="38" spans="2:7" ht="18.75" x14ac:dyDescent="0.25">
      <c r="B38" s="8" t="str">
        <f>'Balance Sheet'!B6</f>
        <v>Preference Share Capital</v>
      </c>
      <c r="C38" s="4"/>
      <c r="D38" s="4">
        <f>'Balance Sheet'!D6-'Balance Sheet'!C6</f>
        <v>0</v>
      </c>
      <c r="E38" s="4">
        <f>'Balance Sheet'!E6-'Balance Sheet'!D6</f>
        <v>0</v>
      </c>
      <c r="F38" s="4">
        <f>'Balance Sheet'!F6-'Balance Sheet'!E6</f>
        <v>0</v>
      </c>
      <c r="G38" s="4">
        <f>'Balance Sheet'!G6-'Balance Sheet'!F6</f>
        <v>0</v>
      </c>
    </row>
    <row r="39" spans="2:7" ht="18.75" x14ac:dyDescent="0.25">
      <c r="B39" s="8" t="str">
        <f>'Balance Sheet'!B10</f>
        <v>Long Term Borrowings</v>
      </c>
      <c r="C39" s="4"/>
      <c r="D39" s="5">
        <f>'Balance Sheet'!D10-'Balance Sheet'!C10</f>
        <v>7930</v>
      </c>
      <c r="E39" s="5">
        <f>'Balance Sheet'!E10-'Balance Sheet'!D10</f>
        <v>2003</v>
      </c>
      <c r="F39" s="5">
        <f>'Balance Sheet'!F10-'Balance Sheet'!E10</f>
        <v>1238</v>
      </c>
      <c r="G39" s="5">
        <f>'Balance Sheet'!G10-'Balance Sheet'!F10</f>
        <v>-1755</v>
      </c>
    </row>
    <row r="40" spans="2:7" ht="18.75" x14ac:dyDescent="0.25">
      <c r="B40" s="8" t="str">
        <f>'Balance Sheet'!B11</f>
        <v>Deferred Tax Liabilities [Net]</v>
      </c>
      <c r="C40" s="4"/>
      <c r="D40" s="5">
        <f>'Balance Sheet'!D11-'Balance Sheet'!C11</f>
        <v>406</v>
      </c>
      <c r="E40" s="5">
        <f>'Balance Sheet'!E11-'Balance Sheet'!D11</f>
        <v>-1599</v>
      </c>
      <c r="F40" s="5">
        <f>'Balance Sheet'!F11-'Balance Sheet'!E11</f>
        <v>-670</v>
      </c>
      <c r="G40" s="5">
        <f>'Balance Sheet'!G11-'Balance Sheet'!F11</f>
        <v>2220</v>
      </c>
    </row>
    <row r="41" spans="2:7" ht="18.75" x14ac:dyDescent="0.25">
      <c r="B41" s="8" t="str">
        <f>'Balance Sheet'!B12</f>
        <v>Short Term Borrowings</v>
      </c>
      <c r="C41" s="4"/>
      <c r="D41" s="5">
        <f>'Balance Sheet'!D12-'Balance Sheet'!C12</f>
        <v>1031</v>
      </c>
      <c r="E41" s="5">
        <f>'Balance Sheet'!E12-'Balance Sheet'!D12</f>
        <v>-961</v>
      </c>
      <c r="F41" s="5">
        <f>'Balance Sheet'!F12-'Balance Sheet'!E12</f>
        <v>-10323</v>
      </c>
      <c r="G41" s="5">
        <f>'Balance Sheet'!G12-'Balance Sheet'!F12</f>
        <v>5206</v>
      </c>
    </row>
    <row r="42" spans="2:7" ht="18.75" x14ac:dyDescent="0.25">
      <c r="B42" s="8" t="str">
        <f>'Balance Sheet'!B20:G20</f>
        <v>Minority Interest</v>
      </c>
      <c r="C42" s="4"/>
      <c r="D42" s="5">
        <f>'Balance Sheet'!D20-'Balance Sheet'!C20</f>
        <v>-730</v>
      </c>
      <c r="E42" s="5">
        <f>'Balance Sheet'!E20-'Balance Sheet'!D20</f>
        <v>1885</v>
      </c>
      <c r="F42" s="5">
        <f>'Balance Sheet'!F20-'Balance Sheet'!E20</f>
        <v>-1974</v>
      </c>
      <c r="G42" s="5">
        <f>'Balance Sheet'!G20-'Balance Sheet'!F20</f>
        <v>2183</v>
      </c>
    </row>
    <row r="43" spans="2:7" ht="18.75" x14ac:dyDescent="0.25">
      <c r="B43" s="8" t="s">
        <v>139</v>
      </c>
      <c r="C43" s="4"/>
      <c r="D43" s="4"/>
      <c r="E43" s="4"/>
      <c r="F43" s="4"/>
      <c r="G43" s="4"/>
    </row>
    <row r="44" spans="2:7" ht="18.75" x14ac:dyDescent="0.25">
      <c r="B44" s="8" t="str">
        <f>'Income Statement'!B28</f>
        <v>Equity Share Dividend</v>
      </c>
      <c r="C44" s="4"/>
      <c r="D44" s="5">
        <f>'Income Statement'!D28</f>
        <v>8411</v>
      </c>
      <c r="E44" s="5">
        <f>'Income Statement'!E28</f>
        <v>1696</v>
      </c>
      <c r="F44" s="5">
        <f>'Income Statement'!F28</f>
        <v>3519</v>
      </c>
      <c r="G44" s="5">
        <f>'Income Statement'!G28</f>
        <v>0</v>
      </c>
    </row>
    <row r="45" spans="2:7" ht="18.75" x14ac:dyDescent="0.25">
      <c r="B45" s="8" t="str">
        <f>'Income Statement'!B29</f>
        <v>Tax On Dividend</v>
      </c>
      <c r="C45" s="4"/>
      <c r="D45" s="4">
        <f>'Income Statement'!D29</f>
        <v>0</v>
      </c>
      <c r="E45" s="4">
        <f>'Income Statement'!E29</f>
        <v>0</v>
      </c>
      <c r="F45" s="4">
        <f>'Income Statement'!F29</f>
        <v>0</v>
      </c>
      <c r="G45" s="4">
        <f>'Income Statement'!G29</f>
        <v>0</v>
      </c>
    </row>
    <row r="46" spans="2:7" ht="18.75" x14ac:dyDescent="0.25">
      <c r="B46" s="8" t="s">
        <v>140</v>
      </c>
      <c r="C46" s="4"/>
      <c r="D46" s="5">
        <f>'Income Statement'!D20</f>
        <v>5689</v>
      </c>
      <c r="E46" s="5">
        <f>'Income Statement'!E20</f>
        <v>4977</v>
      </c>
      <c r="F46" s="5">
        <f>'Income Statement'!F20</f>
        <v>5210</v>
      </c>
      <c r="G46" s="5">
        <f>'Income Statement'!G20</f>
        <v>4797</v>
      </c>
    </row>
    <row r="47" spans="2:7" ht="18.75" x14ac:dyDescent="0.25">
      <c r="B47" s="9" t="s">
        <v>141</v>
      </c>
      <c r="C47" s="6"/>
      <c r="D47" s="7">
        <f>D37+D38+D39+D40+D41+D42-D44-D45-D46</f>
        <v>-5463</v>
      </c>
      <c r="E47" s="7">
        <f t="shared" ref="E47:G47" si="3">E37+E38+E39+E40+E41+E42-E44-E45-E46</f>
        <v>-5345</v>
      </c>
      <c r="F47" s="7">
        <f t="shared" si="3"/>
        <v>-20458</v>
      </c>
      <c r="G47" s="7">
        <f t="shared" si="3"/>
        <v>3057</v>
      </c>
    </row>
    <row r="48" spans="2:7" ht="18.75" x14ac:dyDescent="0.25">
      <c r="B48" s="9" t="s">
        <v>142</v>
      </c>
      <c r="C48" s="6"/>
      <c r="D48" s="7">
        <f>D27+D35+D47</f>
        <v>16077</v>
      </c>
      <c r="E48" s="7">
        <f t="shared" ref="E48:G48" si="4">E27+E35+E47</f>
        <v>13814</v>
      </c>
      <c r="F48" s="7">
        <f t="shared" si="4"/>
        <v>15997</v>
      </c>
      <c r="G48" s="7">
        <f t="shared" si="4"/>
        <v>22574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9A350-ED4C-4432-9538-873B3AE4C509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4" width="15.140625" bestFit="1" customWidth="1"/>
    <col min="5" max="7" width="14.85546875" bestFit="1" customWidth="1"/>
  </cols>
  <sheetData>
    <row r="3" spans="2:12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12" ht="19.5" thickBot="1" x14ac:dyDescent="0.3">
      <c r="B5" s="14" t="s">
        <v>145</v>
      </c>
      <c r="C5" s="14"/>
      <c r="D5" s="14"/>
      <c r="E5" s="14"/>
      <c r="F5" s="14"/>
      <c r="G5" s="14"/>
    </row>
    <row r="6" spans="2:12" ht="19.5" thickTop="1" x14ac:dyDescent="0.25">
      <c r="B6" s="15" t="str">
        <f>'Income Statement'!B27</f>
        <v>Reported Net Profit(PAT)</v>
      </c>
      <c r="C6" s="16">
        <f>'Income Statement'!C27</f>
        <v>13450</v>
      </c>
      <c r="D6" s="16">
        <f>'Income Statement'!D27</f>
        <v>9211</v>
      </c>
      <c r="E6" s="16">
        <f>'Income Statement'!E27</f>
        <v>-4403</v>
      </c>
      <c r="F6" s="16">
        <f>'Income Statement'!F27</f>
        <v>14708</v>
      </c>
      <c r="G6" s="16">
        <f>'Income Statement'!G27</f>
        <v>20253</v>
      </c>
      <c r="I6" s="18"/>
      <c r="J6" s="19"/>
      <c r="K6" s="19"/>
      <c r="L6" s="20"/>
    </row>
    <row r="7" spans="2:12" ht="18.75" x14ac:dyDescent="0.25">
      <c r="B7" s="15" t="str">
        <f>'Income Statement'!B35</f>
        <v>Total Shares Outstanding(cr)</v>
      </c>
      <c r="C7" s="16">
        <f>'Income Statement'!C35</f>
        <v>480.35714285714283</v>
      </c>
      <c r="D7" s="16">
        <f>'Income Statement'!D35</f>
        <v>484.78947368421052</v>
      </c>
      <c r="E7" s="16">
        <f>'Income Statement'!E35</f>
        <v>244.61111111111111</v>
      </c>
      <c r="F7" s="16">
        <f>'Income Statement'!F35</f>
        <v>474.45161290322579</v>
      </c>
      <c r="G7" s="16">
        <f>'Income Statement'!G35</f>
        <v>397.11764705882354</v>
      </c>
      <c r="I7" s="21"/>
      <c r="J7" s="22"/>
      <c r="K7" s="22"/>
      <c r="L7" s="23"/>
    </row>
    <row r="8" spans="2:12" ht="19.5" thickBot="1" x14ac:dyDescent="0.3">
      <c r="B8" s="17" t="s">
        <v>146</v>
      </c>
      <c r="C8" s="17">
        <f>ROUND(C6/C7, 2)</f>
        <v>28</v>
      </c>
      <c r="D8" s="17">
        <f t="shared" ref="D8:G8" si="0">ROUND(D6/D7, 2)</f>
        <v>19</v>
      </c>
      <c r="E8" s="17">
        <f t="shared" si="0"/>
        <v>-18</v>
      </c>
      <c r="F8" s="17">
        <f t="shared" si="0"/>
        <v>31</v>
      </c>
      <c r="G8" s="17">
        <f t="shared" si="0"/>
        <v>51</v>
      </c>
      <c r="I8" s="24"/>
      <c r="J8" s="25"/>
      <c r="K8" s="25"/>
      <c r="L8" s="26"/>
    </row>
    <row r="9" spans="2:12" ht="15.75" thickTop="1" x14ac:dyDescent="0.25"/>
    <row r="10" spans="2:12" ht="19.5" thickBot="1" x14ac:dyDescent="0.3">
      <c r="B10" s="14" t="s">
        <v>147</v>
      </c>
      <c r="C10" s="14"/>
      <c r="D10" s="14"/>
      <c r="E10" s="14"/>
      <c r="F10" s="14"/>
      <c r="G10" s="14"/>
    </row>
    <row r="11" spans="2:12" ht="19.5" thickTop="1" x14ac:dyDescent="0.25">
      <c r="B11" s="15" t="str">
        <f>'Income Statement'!B28</f>
        <v>Equity Share Dividend</v>
      </c>
      <c r="C11" s="16">
        <f>'Income Statement'!C28</f>
        <v>9462</v>
      </c>
      <c r="D11" s="16">
        <f>'Income Statement'!D28</f>
        <v>8411</v>
      </c>
      <c r="E11" s="16">
        <f>'Income Statement'!E28</f>
        <v>1696</v>
      </c>
      <c r="F11" s="16">
        <f>'Income Statement'!F28</f>
        <v>3519</v>
      </c>
      <c r="G11" s="16">
        <f>'Income Statement'!G28</f>
        <v>0</v>
      </c>
      <c r="I11" s="18"/>
      <c r="J11" s="19"/>
      <c r="K11" s="19"/>
      <c r="L11" s="20"/>
    </row>
    <row r="12" spans="2:12" ht="18.75" x14ac:dyDescent="0.25">
      <c r="B12" s="15" t="str">
        <f>'Income Statement'!B35</f>
        <v>Total Shares Outstanding(cr)</v>
      </c>
      <c r="C12" s="16">
        <f>'Income Statement'!C35</f>
        <v>480.35714285714283</v>
      </c>
      <c r="D12" s="16">
        <f>'Income Statement'!D35</f>
        <v>484.78947368421052</v>
      </c>
      <c r="E12" s="16">
        <f>'Income Statement'!E35</f>
        <v>244.61111111111111</v>
      </c>
      <c r="F12" s="16">
        <f>'Income Statement'!F35</f>
        <v>474.45161290322579</v>
      </c>
      <c r="G12" s="16">
        <f>'Income Statement'!G35</f>
        <v>397.11764705882354</v>
      </c>
      <c r="I12" s="21"/>
      <c r="J12" s="22"/>
      <c r="K12" s="22"/>
      <c r="L12" s="23"/>
    </row>
    <row r="13" spans="2:12" ht="19.5" thickBot="1" x14ac:dyDescent="0.3">
      <c r="B13" s="17" t="s">
        <v>148</v>
      </c>
      <c r="C13" s="17">
        <f>ROUND(C11/C12, 2)</f>
        <v>19.7</v>
      </c>
      <c r="D13" s="17">
        <f t="shared" ref="D13:G13" si="1">ROUND(D11/D12, 2)</f>
        <v>17.350000000000001</v>
      </c>
      <c r="E13" s="17">
        <f t="shared" si="1"/>
        <v>6.93</v>
      </c>
      <c r="F13" s="17">
        <f t="shared" si="1"/>
        <v>7.42</v>
      </c>
      <c r="G13" s="17">
        <f t="shared" si="1"/>
        <v>0</v>
      </c>
      <c r="I13" s="24"/>
      <c r="J13" s="25"/>
      <c r="K13" s="25"/>
      <c r="L13" s="26"/>
    </row>
    <row r="14" spans="2:12" ht="15.75" thickTop="1" x14ac:dyDescent="0.25"/>
    <row r="15" spans="2:12" ht="19.5" thickBot="1" x14ac:dyDescent="0.3">
      <c r="B15" s="14" t="s">
        <v>149</v>
      </c>
      <c r="C15" s="14"/>
      <c r="D15" s="14"/>
      <c r="E15" s="14"/>
      <c r="F15" s="14"/>
      <c r="G15" s="14"/>
    </row>
    <row r="16" spans="2:12" ht="19.5" thickTop="1" x14ac:dyDescent="0.25">
      <c r="B16" s="15" t="str">
        <f>'Balance Sheet'!B9</f>
        <v>Net Worth</v>
      </c>
      <c r="C16" s="16">
        <f>'Balance Sheet'!C9</f>
        <v>63508</v>
      </c>
      <c r="D16" s="16">
        <f>'Balance Sheet'!D9</f>
        <v>64308</v>
      </c>
      <c r="E16" s="16">
        <f>'Balance Sheet'!E9</f>
        <v>58209</v>
      </c>
      <c r="F16" s="16">
        <f>'Balance Sheet'!F9</f>
        <v>69398</v>
      </c>
      <c r="G16" s="16">
        <f>'Balance Sheet'!G9</f>
        <v>89651</v>
      </c>
      <c r="I16" s="18"/>
      <c r="J16" s="19"/>
      <c r="K16" s="19"/>
      <c r="L16" s="20"/>
    </row>
    <row r="17" spans="2:12" ht="18.75" x14ac:dyDescent="0.25">
      <c r="B17" s="15" t="str">
        <f>'Income Statement'!B35</f>
        <v>Total Shares Outstanding(cr)</v>
      </c>
      <c r="C17" s="16">
        <f>'Income Statement'!C35</f>
        <v>480.35714285714283</v>
      </c>
      <c r="D17" s="16">
        <f>'Income Statement'!D35</f>
        <v>484.78947368421052</v>
      </c>
      <c r="E17" s="16">
        <f>'Income Statement'!E35</f>
        <v>244.61111111111111</v>
      </c>
      <c r="F17" s="16">
        <f>'Income Statement'!F35</f>
        <v>474.45161290322579</v>
      </c>
      <c r="G17" s="16">
        <f>'Income Statement'!G35</f>
        <v>397.11764705882354</v>
      </c>
      <c r="I17" s="21"/>
      <c r="J17" s="22"/>
      <c r="K17" s="22"/>
      <c r="L17" s="23"/>
    </row>
    <row r="18" spans="2:12" ht="19.5" thickBot="1" x14ac:dyDescent="0.3">
      <c r="B18" s="17" t="s">
        <v>150</v>
      </c>
      <c r="C18" s="17">
        <f>ROUND(C16/C17, 2)</f>
        <v>132.21</v>
      </c>
      <c r="D18" s="17">
        <f t="shared" ref="D18:G18" si="2">ROUND(D16/D17, 2)</f>
        <v>132.65</v>
      </c>
      <c r="E18" s="17">
        <f t="shared" si="2"/>
        <v>237.97</v>
      </c>
      <c r="F18" s="17">
        <f t="shared" si="2"/>
        <v>146.27000000000001</v>
      </c>
      <c r="G18" s="17">
        <f t="shared" si="2"/>
        <v>225.75</v>
      </c>
      <c r="I18" s="24"/>
      <c r="J18" s="25"/>
      <c r="K18" s="25"/>
      <c r="L18" s="26"/>
    </row>
    <row r="19" spans="2:12" ht="15.75" thickTop="1" x14ac:dyDescent="0.25"/>
    <row r="20" spans="2:12" ht="18.75" x14ac:dyDescent="0.25">
      <c r="B20" s="14" t="s">
        <v>151</v>
      </c>
      <c r="C20" s="14"/>
      <c r="D20" s="14"/>
      <c r="E20" s="14"/>
      <c r="F20" s="14"/>
      <c r="G20" s="14"/>
    </row>
    <row r="21" spans="2:12" ht="18.75" x14ac:dyDescent="0.25">
      <c r="B21" s="15" t="str">
        <f>'Income Statement'!B28</f>
        <v>Equity Share Dividend</v>
      </c>
      <c r="C21" s="16">
        <f>'Income Statement'!C28</f>
        <v>9462</v>
      </c>
      <c r="D21" s="16">
        <f>'Income Statement'!D28</f>
        <v>8411</v>
      </c>
      <c r="E21" s="16">
        <f>'Income Statement'!E28</f>
        <v>1696</v>
      </c>
      <c r="F21" s="16">
        <f>'Income Statement'!F28</f>
        <v>3519</v>
      </c>
      <c r="G21" s="16">
        <f>'Income Statement'!G28</f>
        <v>0</v>
      </c>
    </row>
    <row r="22" spans="2:12" ht="18.75" x14ac:dyDescent="0.25">
      <c r="B22" s="15" t="str">
        <f>'Income Statement'!B35</f>
        <v>Total Shares Outstanding(cr)</v>
      </c>
      <c r="C22" s="16">
        <f>'Income Statement'!C35</f>
        <v>480.35714285714283</v>
      </c>
      <c r="D22" s="16">
        <f>'Income Statement'!D35</f>
        <v>484.78947368421052</v>
      </c>
      <c r="E22" s="16">
        <f>'Income Statement'!E35</f>
        <v>244.61111111111111</v>
      </c>
      <c r="F22" s="16">
        <f>'Income Statement'!F35</f>
        <v>474.45161290322579</v>
      </c>
      <c r="G22" s="16">
        <f>'Income Statement'!G35</f>
        <v>397.11764705882354</v>
      </c>
    </row>
    <row r="23" spans="2:12" ht="18.75" x14ac:dyDescent="0.25">
      <c r="B23" s="15" t="s">
        <v>148</v>
      </c>
      <c r="C23" s="16">
        <f>ROUND(C21/C22, 2)</f>
        <v>19.7</v>
      </c>
      <c r="D23" s="16">
        <f t="shared" ref="D23:G23" si="3">ROUND(D21/D22, 2)</f>
        <v>17.350000000000001</v>
      </c>
      <c r="E23" s="16">
        <f t="shared" si="3"/>
        <v>6.93</v>
      </c>
      <c r="F23" s="16">
        <f t="shared" si="3"/>
        <v>7.42</v>
      </c>
      <c r="G23" s="16">
        <f t="shared" si="3"/>
        <v>0</v>
      </c>
    </row>
    <row r="24" spans="2:12" ht="19.5" thickBot="1" x14ac:dyDescent="0.3">
      <c r="B24" s="15" t="str">
        <f>'Income Statement'!B27</f>
        <v>Reported Net Profit(PAT)</v>
      </c>
      <c r="C24" s="16">
        <f>'Income Statement'!C27</f>
        <v>13450</v>
      </c>
      <c r="D24" s="16">
        <f>'Income Statement'!D27</f>
        <v>9211</v>
      </c>
      <c r="E24" s="16">
        <f>'Income Statement'!E27</f>
        <v>-4403</v>
      </c>
      <c r="F24" s="16">
        <f>'Income Statement'!F27</f>
        <v>14708</v>
      </c>
      <c r="G24" s="16">
        <f>'Income Statement'!G27</f>
        <v>20253</v>
      </c>
    </row>
    <row r="25" spans="2:12" ht="19.5" thickTop="1" x14ac:dyDescent="0.25">
      <c r="B25" s="15" t="str">
        <f>'Income Statement'!B35</f>
        <v>Total Shares Outstanding(cr)</v>
      </c>
      <c r="C25" s="16">
        <f>'Income Statement'!C35</f>
        <v>480.35714285714283</v>
      </c>
      <c r="D25" s="16">
        <f>'Income Statement'!D35</f>
        <v>484.78947368421052</v>
      </c>
      <c r="E25" s="16">
        <f>'Income Statement'!E35</f>
        <v>244.61111111111111</v>
      </c>
      <c r="F25" s="16">
        <f>'Income Statement'!F35</f>
        <v>474.45161290322579</v>
      </c>
      <c r="G25" s="16">
        <f>'Income Statement'!G35</f>
        <v>397.11764705882354</v>
      </c>
      <c r="I25" s="18"/>
      <c r="J25" s="19"/>
      <c r="K25" s="19"/>
      <c r="L25" s="20"/>
    </row>
    <row r="26" spans="2:12" ht="18.75" x14ac:dyDescent="0.25">
      <c r="B26" s="15" t="s">
        <v>146</v>
      </c>
      <c r="C26" s="16">
        <f>C24/C25</f>
        <v>28</v>
      </c>
      <c r="D26" s="16">
        <f t="shared" ref="D26:G26" si="4">D24/D25</f>
        <v>19</v>
      </c>
      <c r="E26" s="16">
        <f t="shared" si="4"/>
        <v>-18</v>
      </c>
      <c r="F26" s="16">
        <f t="shared" si="4"/>
        <v>31</v>
      </c>
      <c r="G26" s="16">
        <f t="shared" si="4"/>
        <v>51</v>
      </c>
      <c r="I26" s="21"/>
      <c r="J26" s="22"/>
      <c r="K26" s="22"/>
      <c r="L26" s="23"/>
    </row>
    <row r="27" spans="2:12" ht="19.5" thickBot="1" x14ac:dyDescent="0.3">
      <c r="B27" s="17" t="s">
        <v>152</v>
      </c>
      <c r="C27" s="17">
        <f>ROUND(C23/C26, 2)</f>
        <v>0.7</v>
      </c>
      <c r="D27" s="17">
        <f t="shared" ref="D27:G27" si="5">ROUND(D23/D26, 2)</f>
        <v>0.91</v>
      </c>
      <c r="E27" s="17">
        <f t="shared" si="5"/>
        <v>-0.39</v>
      </c>
      <c r="F27" s="17">
        <f t="shared" si="5"/>
        <v>0.24</v>
      </c>
      <c r="G27" s="17">
        <f t="shared" si="5"/>
        <v>0</v>
      </c>
      <c r="I27" s="24"/>
      <c r="J27" s="25"/>
      <c r="K27" s="25"/>
      <c r="L27" s="26"/>
    </row>
    <row r="28" spans="2:12" ht="15.75" thickTop="1" x14ac:dyDescent="0.25"/>
    <row r="29" spans="2:12" ht="18.75" x14ac:dyDescent="0.25">
      <c r="B29" s="14" t="s">
        <v>153</v>
      </c>
      <c r="C29" s="14"/>
      <c r="D29" s="14"/>
      <c r="E29" s="14"/>
      <c r="F29" s="14"/>
      <c r="G29" s="14"/>
    </row>
    <row r="30" spans="2:12" ht="19.5" thickBot="1" x14ac:dyDescent="0.3">
      <c r="B30" s="15" t="str">
        <f>'Income Statement'!B28</f>
        <v>Equity Share Dividend</v>
      </c>
      <c r="C30" s="16">
        <f>'Income Statement'!C28</f>
        <v>9462</v>
      </c>
      <c r="D30" s="16">
        <f>'Income Statement'!D28</f>
        <v>8411</v>
      </c>
      <c r="E30" s="16">
        <f>'Income Statement'!E28</f>
        <v>1696</v>
      </c>
      <c r="F30" s="16">
        <f>'Income Statement'!F28</f>
        <v>3519</v>
      </c>
      <c r="G30" s="16">
        <f>'Income Statement'!G28</f>
        <v>0</v>
      </c>
    </row>
    <row r="31" spans="2:12" ht="19.5" thickTop="1" x14ac:dyDescent="0.25">
      <c r="B31" s="15" t="str">
        <f>'Income Statement'!B35</f>
        <v>Total Shares Outstanding(cr)</v>
      </c>
      <c r="C31" s="16">
        <f>'Income Statement'!C35</f>
        <v>480.35714285714283</v>
      </c>
      <c r="D31" s="16">
        <f>'Income Statement'!D35</f>
        <v>484.78947368421052</v>
      </c>
      <c r="E31" s="16">
        <f>'Income Statement'!E35</f>
        <v>244.61111111111111</v>
      </c>
      <c r="F31" s="16">
        <f>'Income Statement'!F35</f>
        <v>474.45161290322579</v>
      </c>
      <c r="G31" s="16">
        <f>'Income Statement'!G35</f>
        <v>397.11764705882354</v>
      </c>
      <c r="I31" s="18"/>
      <c r="J31" s="19"/>
      <c r="K31" s="19"/>
      <c r="L31" s="20"/>
    </row>
    <row r="32" spans="2:12" ht="18.75" x14ac:dyDescent="0.25">
      <c r="B32" s="15" t="s">
        <v>154</v>
      </c>
      <c r="C32" s="16">
        <f>ROUND(C30/C31, 2)</f>
        <v>19.7</v>
      </c>
      <c r="D32" s="16">
        <f t="shared" ref="D32:G32" si="6">ROUND(D30/D31, 2)</f>
        <v>17.350000000000001</v>
      </c>
      <c r="E32" s="16">
        <f t="shared" si="6"/>
        <v>6.93</v>
      </c>
      <c r="F32" s="16">
        <f t="shared" si="6"/>
        <v>7.42</v>
      </c>
      <c r="G32" s="16">
        <f t="shared" si="6"/>
        <v>0</v>
      </c>
      <c r="I32" s="21"/>
      <c r="J32" s="22"/>
      <c r="K32" s="22"/>
      <c r="L32" s="23"/>
    </row>
    <row r="33" spans="2:12" ht="19.5" thickBot="1" x14ac:dyDescent="0.3">
      <c r="B33" s="17" t="s">
        <v>155</v>
      </c>
      <c r="C33" s="27">
        <f>1-C32</f>
        <v>-18.7</v>
      </c>
      <c r="D33" s="27">
        <f t="shared" ref="D33:G33" si="7">1-D32</f>
        <v>-16.350000000000001</v>
      </c>
      <c r="E33" s="27">
        <f t="shared" si="7"/>
        <v>-5.93</v>
      </c>
      <c r="F33" s="27">
        <f t="shared" si="7"/>
        <v>-6.42</v>
      </c>
      <c r="G33" s="27">
        <f t="shared" si="7"/>
        <v>1</v>
      </c>
      <c r="I33" s="24"/>
      <c r="J33" s="25"/>
      <c r="K33" s="25"/>
      <c r="L33" s="26"/>
    </row>
    <row r="34" spans="2:12" ht="15.75" thickTop="1" x14ac:dyDescent="0.25"/>
    <row r="35" spans="2:12" ht="19.5" thickBot="1" x14ac:dyDescent="0.3">
      <c r="B35" s="14" t="s">
        <v>156</v>
      </c>
      <c r="C35" s="14"/>
      <c r="D35" s="14"/>
      <c r="E35" s="14"/>
      <c r="F35" s="14"/>
      <c r="G35" s="14"/>
    </row>
    <row r="36" spans="2:12" ht="19.5" thickTop="1" x14ac:dyDescent="0.25">
      <c r="B36" s="15" t="str">
        <f>'Income Statement'!B5</f>
        <v>Gross Sales</v>
      </c>
      <c r="C36" s="16">
        <f>'Income Statement'!C5</f>
        <v>92011</v>
      </c>
      <c r="D36" s="16">
        <f>'Income Statement'!D5</f>
        <v>90901</v>
      </c>
      <c r="E36" s="16">
        <f>'Income Statement'!E5</f>
        <v>83545</v>
      </c>
      <c r="F36" s="16">
        <f>'Income Statement'!F5</f>
        <v>86863</v>
      </c>
      <c r="G36" s="16">
        <f>'Income Statement'!G5</f>
        <v>131192</v>
      </c>
      <c r="I36" s="18"/>
      <c r="J36" s="19"/>
      <c r="K36" s="19"/>
      <c r="L36" s="20"/>
    </row>
    <row r="37" spans="2:12" ht="18.75" x14ac:dyDescent="0.25">
      <c r="B37" s="15" t="str">
        <f>'Income Statement'!B11</f>
        <v>Cost Of Materials Consumed</v>
      </c>
      <c r="C37" s="16">
        <f>'Income Statement'!C11</f>
        <v>31582</v>
      </c>
      <c r="D37" s="16">
        <f>'Income Statement'!D11</f>
        <v>25490</v>
      </c>
      <c r="E37" s="16">
        <f>'Income Statement'!E11</f>
        <v>21261</v>
      </c>
      <c r="F37" s="16">
        <f>'Income Statement'!F11</f>
        <v>22849</v>
      </c>
      <c r="G37" s="16">
        <f>'Income Statement'!G11</f>
        <v>37172</v>
      </c>
      <c r="I37" s="21"/>
      <c r="J37" s="22"/>
      <c r="K37" s="22"/>
      <c r="L37" s="23"/>
    </row>
    <row r="38" spans="2:12" ht="19.5" thickBot="1" x14ac:dyDescent="0.3">
      <c r="B38" s="17" t="s">
        <v>157</v>
      </c>
      <c r="C38" s="28">
        <f>ROUND(C36- C37, 2)</f>
        <v>60429</v>
      </c>
      <c r="D38" s="28">
        <f t="shared" ref="D38:G38" si="8">ROUND(D36- D37, 2)</f>
        <v>65411</v>
      </c>
      <c r="E38" s="28">
        <f t="shared" si="8"/>
        <v>62284</v>
      </c>
      <c r="F38" s="28">
        <f t="shared" si="8"/>
        <v>64014</v>
      </c>
      <c r="G38" s="28">
        <f t="shared" si="8"/>
        <v>94020</v>
      </c>
      <c r="I38" s="24"/>
      <c r="J38" s="25"/>
      <c r="K38" s="25"/>
      <c r="L38" s="26"/>
    </row>
    <row r="39" spans="2:12" ht="15.75" thickTop="1" x14ac:dyDescent="0.25"/>
    <row r="40" spans="2:12" ht="19.5" thickBot="1" x14ac:dyDescent="0.3">
      <c r="B40" s="14" t="s">
        <v>158</v>
      </c>
      <c r="C40" s="14"/>
      <c r="D40" s="14"/>
      <c r="E40" s="14"/>
      <c r="F40" s="14"/>
      <c r="G40" s="14"/>
    </row>
    <row r="41" spans="2:12" ht="19.5" thickTop="1" x14ac:dyDescent="0.25">
      <c r="B41" s="15" t="str">
        <f>'Income Statement'!B5</f>
        <v>Gross Sales</v>
      </c>
      <c r="C41" s="16">
        <f>'Income Statement'!C5</f>
        <v>92011</v>
      </c>
      <c r="D41" s="16">
        <f>'Income Statement'!D5</f>
        <v>90901</v>
      </c>
      <c r="E41" s="16">
        <f>'Income Statement'!E5</f>
        <v>83545</v>
      </c>
      <c r="F41" s="16">
        <f>'Income Statement'!F5</f>
        <v>86863</v>
      </c>
      <c r="G41" s="16">
        <f>'Income Statement'!G5</f>
        <v>131192</v>
      </c>
      <c r="I41" s="18"/>
      <c r="J41" s="19"/>
      <c r="K41" s="19"/>
      <c r="L41" s="20"/>
    </row>
    <row r="42" spans="2:12" ht="18.75" x14ac:dyDescent="0.25">
      <c r="B42" s="15" t="str">
        <f>'Income Statement'!B15</f>
        <v>Total Expenditure</v>
      </c>
      <c r="C42" s="16">
        <f>'Income Statement'!C15</f>
        <v>66032</v>
      </c>
      <c r="D42" s="16">
        <f>'Income Statement'!D15</f>
        <v>68285</v>
      </c>
      <c r="E42" s="16">
        <f>'Income Statement'!E15</f>
        <v>62518</v>
      </c>
      <c r="F42" s="16">
        <f>'Income Statement'!F15</f>
        <v>59870</v>
      </c>
      <c r="G42" s="16">
        <f>'Income Statement'!G15</f>
        <v>89824</v>
      </c>
      <c r="I42" s="21"/>
      <c r="J42" s="22"/>
      <c r="K42" s="22"/>
      <c r="L42" s="23"/>
    </row>
    <row r="43" spans="2:12" ht="19.5" thickBot="1" x14ac:dyDescent="0.3">
      <c r="B43" s="17" t="s">
        <v>159</v>
      </c>
      <c r="C43" s="28">
        <f>ROUND(C41- C42, 2)</f>
        <v>25979</v>
      </c>
      <c r="D43" s="28">
        <f t="shared" ref="D43:G43" si="9">ROUND(D41- D42, 2)</f>
        <v>22616</v>
      </c>
      <c r="E43" s="28">
        <f t="shared" si="9"/>
        <v>21027</v>
      </c>
      <c r="F43" s="28">
        <f t="shared" si="9"/>
        <v>26993</v>
      </c>
      <c r="G43" s="28">
        <f t="shared" si="9"/>
        <v>41368</v>
      </c>
      <c r="I43" s="24"/>
      <c r="J43" s="25"/>
      <c r="K43" s="25"/>
      <c r="L43" s="26"/>
    </row>
    <row r="44" spans="2:12" ht="15.75" thickTop="1" x14ac:dyDescent="0.25"/>
    <row r="45" spans="2:12" ht="19.5" thickBot="1" x14ac:dyDescent="0.3">
      <c r="B45" s="14" t="s">
        <v>160</v>
      </c>
      <c r="C45" s="14"/>
      <c r="D45" s="14"/>
      <c r="E45" s="14"/>
      <c r="F45" s="14"/>
      <c r="G45" s="14"/>
    </row>
    <row r="46" spans="2:12" ht="19.5" thickTop="1" x14ac:dyDescent="0.25">
      <c r="B46" s="15" t="str">
        <f>'Income Statement'!B27</f>
        <v>Reported Net Profit(PAT)</v>
      </c>
      <c r="C46" s="16">
        <f>'Income Statement'!C27</f>
        <v>13450</v>
      </c>
      <c r="D46" s="16">
        <f>'Income Statement'!D27</f>
        <v>9211</v>
      </c>
      <c r="E46" s="16">
        <f>'Income Statement'!E27</f>
        <v>-4403</v>
      </c>
      <c r="F46" s="16">
        <f>'Income Statement'!F27</f>
        <v>14708</v>
      </c>
      <c r="G46" s="16">
        <f>'Income Statement'!G27</f>
        <v>20253</v>
      </c>
      <c r="I46" s="18"/>
      <c r="J46" s="19"/>
      <c r="K46" s="19"/>
      <c r="L46" s="20"/>
    </row>
    <row r="47" spans="2:12" ht="18.75" x14ac:dyDescent="0.25">
      <c r="B47" s="15" t="str">
        <f>'Balance Sheet'!B40</f>
        <v>Total Assets</v>
      </c>
      <c r="C47" s="16">
        <f>'Balance Sheet'!C40</f>
        <v>184798</v>
      </c>
      <c r="D47" s="16">
        <f>'Balance Sheet'!D40</f>
        <v>204052</v>
      </c>
      <c r="E47" s="16">
        <f>'Balance Sheet'!E40</f>
        <v>187194</v>
      </c>
      <c r="F47" s="16">
        <f>'Balance Sheet'!F40</f>
        <v>192815</v>
      </c>
      <c r="G47" s="16">
        <f>'Balance Sheet'!G40</f>
        <v>222868</v>
      </c>
      <c r="I47" s="21"/>
      <c r="J47" s="22"/>
      <c r="K47" s="22"/>
      <c r="L47" s="23"/>
    </row>
    <row r="48" spans="2:12" ht="19.5" thickBot="1" x14ac:dyDescent="0.3">
      <c r="B48" s="17" t="s">
        <v>161</v>
      </c>
      <c r="C48" s="27">
        <f>ROUND(C46/ C47, 2)</f>
        <v>7.0000000000000007E-2</v>
      </c>
      <c r="D48" s="27">
        <f t="shared" ref="D48:G48" si="10">ROUND(D46/ D47, 2)</f>
        <v>0.05</v>
      </c>
      <c r="E48" s="27">
        <f t="shared" si="10"/>
        <v>-0.02</v>
      </c>
      <c r="F48" s="27">
        <f t="shared" si="10"/>
        <v>0.08</v>
      </c>
      <c r="G48" s="27">
        <f t="shared" si="10"/>
        <v>0.09</v>
      </c>
      <c r="I48" s="24"/>
      <c r="J48" s="25"/>
      <c r="K48" s="25"/>
      <c r="L48" s="26"/>
    </row>
    <row r="49" spans="2:12" ht="15.75" thickTop="1" x14ac:dyDescent="0.25"/>
    <row r="50" spans="2:12" ht="18.75" x14ac:dyDescent="0.25">
      <c r="B50" s="14" t="s">
        <v>162</v>
      </c>
      <c r="C50" s="14"/>
      <c r="D50" s="14"/>
      <c r="E50" s="14"/>
      <c r="F50" s="14"/>
      <c r="G50" s="14"/>
    </row>
    <row r="51" spans="2:12" ht="19.5" thickBot="1" x14ac:dyDescent="0.3">
      <c r="B51" s="15" t="str">
        <f>'Income Statement'!B19</f>
        <v>PBIT</v>
      </c>
      <c r="C51" s="16">
        <f>'Income Statement'!C19</f>
        <v>22213</v>
      </c>
      <c r="D51" s="16">
        <f>'Income Statement'!D19</f>
        <v>18442</v>
      </c>
      <c r="E51" s="16">
        <f>'Income Statement'!E19</f>
        <v>14444</v>
      </c>
      <c r="F51" s="16">
        <f>'Income Statement'!F19</f>
        <v>22776</v>
      </c>
      <c r="G51" s="16">
        <f>'Income Statement'!G19</f>
        <v>35073</v>
      </c>
    </row>
    <row r="52" spans="2:12" ht="19.5" thickTop="1" x14ac:dyDescent="0.25">
      <c r="B52" s="15" t="str">
        <f>'Balance Sheet'!B13</f>
        <v>Total Debt</v>
      </c>
      <c r="C52" s="16">
        <f>'Balance Sheet'!C13</f>
        <v>52818</v>
      </c>
      <c r="D52" s="16">
        <f>'Balance Sheet'!D13</f>
        <v>62185</v>
      </c>
      <c r="E52" s="16">
        <f>'Balance Sheet'!E13</f>
        <v>61628</v>
      </c>
      <c r="F52" s="16">
        <f>'Balance Sheet'!F13</f>
        <v>51873</v>
      </c>
      <c r="G52" s="16">
        <f>'Balance Sheet'!G13</f>
        <v>57544</v>
      </c>
      <c r="I52" s="18"/>
      <c r="J52" s="19"/>
      <c r="K52" s="19"/>
      <c r="L52" s="20"/>
    </row>
    <row r="53" spans="2:12" ht="18.75" x14ac:dyDescent="0.25">
      <c r="B53" s="15" t="str">
        <f>'Balance Sheet'!B9</f>
        <v>Net Worth</v>
      </c>
      <c r="C53" s="16">
        <f>'Balance Sheet'!C9</f>
        <v>63508</v>
      </c>
      <c r="D53" s="16">
        <f>'Balance Sheet'!D9</f>
        <v>64308</v>
      </c>
      <c r="E53" s="16">
        <f>'Balance Sheet'!E9</f>
        <v>58209</v>
      </c>
      <c r="F53" s="16">
        <f>'Balance Sheet'!F9</f>
        <v>69398</v>
      </c>
      <c r="G53" s="16">
        <f>'Balance Sheet'!G9</f>
        <v>89651</v>
      </c>
      <c r="I53" s="21"/>
      <c r="J53" s="22"/>
      <c r="K53" s="22"/>
      <c r="L53" s="23"/>
    </row>
    <row r="54" spans="2:12" ht="19.5" thickBot="1" x14ac:dyDescent="0.3">
      <c r="B54" s="17" t="s">
        <v>163</v>
      </c>
      <c r="C54" s="27">
        <f>ROUND(C51/ (C52+ C52), 2)</f>
        <v>0.21</v>
      </c>
      <c r="D54" s="27">
        <f t="shared" ref="D54:G54" si="11">ROUND(D51/ (D52+ D52), 2)</f>
        <v>0.15</v>
      </c>
      <c r="E54" s="27">
        <f t="shared" si="11"/>
        <v>0.12</v>
      </c>
      <c r="F54" s="27">
        <f t="shared" si="11"/>
        <v>0.22</v>
      </c>
      <c r="G54" s="27">
        <f t="shared" si="11"/>
        <v>0.3</v>
      </c>
      <c r="I54" s="24"/>
      <c r="J54" s="25"/>
      <c r="K54" s="25"/>
      <c r="L54" s="26"/>
    </row>
    <row r="55" spans="2:12" ht="15.75" thickTop="1" x14ac:dyDescent="0.25"/>
    <row r="56" spans="2:12" ht="19.5" thickBot="1" x14ac:dyDescent="0.3">
      <c r="B56" s="14" t="s">
        <v>164</v>
      </c>
      <c r="C56" s="14"/>
      <c r="D56" s="14"/>
      <c r="E56" s="14"/>
      <c r="F56" s="14"/>
      <c r="G56" s="14"/>
    </row>
    <row r="57" spans="2:12" ht="19.5" thickTop="1" x14ac:dyDescent="0.25">
      <c r="B57" s="15" t="str">
        <f>'Income Statement'!B27</f>
        <v>Reported Net Profit(PAT)</v>
      </c>
      <c r="C57" s="16">
        <f>'Income Statement'!C27</f>
        <v>13450</v>
      </c>
      <c r="D57" s="16">
        <f>'Income Statement'!D27</f>
        <v>9211</v>
      </c>
      <c r="E57" s="16">
        <f>'Income Statement'!E27</f>
        <v>-4403</v>
      </c>
      <c r="F57" s="16">
        <f>'Income Statement'!F27</f>
        <v>14708</v>
      </c>
      <c r="G57" s="16">
        <f>'Income Statement'!G27</f>
        <v>20253</v>
      </c>
      <c r="I57" s="18"/>
      <c r="J57" s="19"/>
      <c r="K57" s="19"/>
      <c r="L57" s="20"/>
    </row>
    <row r="58" spans="2:12" ht="18.75" x14ac:dyDescent="0.25">
      <c r="B58" s="15" t="str">
        <f>'Balance Sheet'!B9</f>
        <v>Net Worth</v>
      </c>
      <c r="C58" s="16">
        <f>'Balance Sheet'!C9</f>
        <v>63508</v>
      </c>
      <c r="D58" s="16">
        <f>'Balance Sheet'!D9</f>
        <v>64308</v>
      </c>
      <c r="E58" s="16">
        <f>'Balance Sheet'!E9</f>
        <v>58209</v>
      </c>
      <c r="F58" s="16">
        <f>'Balance Sheet'!F9</f>
        <v>69398</v>
      </c>
      <c r="G58" s="16">
        <f>'Balance Sheet'!G9</f>
        <v>89651</v>
      </c>
      <c r="I58" s="21"/>
      <c r="J58" s="22"/>
      <c r="K58" s="22"/>
      <c r="L58" s="23"/>
    </row>
    <row r="59" spans="2:12" ht="19.5" thickBot="1" x14ac:dyDescent="0.3">
      <c r="B59" s="17" t="s">
        <v>165</v>
      </c>
      <c r="C59" s="27">
        <f>ROUND(C57/ (C58+ C58), 2)</f>
        <v>0.11</v>
      </c>
      <c r="D59" s="27">
        <f t="shared" ref="D59:G59" si="12">ROUND(D57/ (D58+ D58), 2)</f>
        <v>7.0000000000000007E-2</v>
      </c>
      <c r="E59" s="27">
        <f t="shared" si="12"/>
        <v>-0.04</v>
      </c>
      <c r="F59" s="27">
        <f t="shared" si="12"/>
        <v>0.11</v>
      </c>
      <c r="G59" s="27">
        <f t="shared" si="12"/>
        <v>0.11</v>
      </c>
      <c r="I59" s="24"/>
      <c r="J59" s="25"/>
      <c r="K59" s="25"/>
      <c r="L59" s="26"/>
    </row>
    <row r="60" spans="2:12" ht="15.75" thickTop="1" x14ac:dyDescent="0.25"/>
    <row r="61" spans="2:12" ht="19.5" thickBot="1" x14ac:dyDescent="0.3">
      <c r="B61" s="14" t="s">
        <v>166</v>
      </c>
      <c r="C61" s="14"/>
      <c r="D61" s="14"/>
      <c r="E61" s="14"/>
      <c r="F61" s="14"/>
      <c r="G61" s="14"/>
    </row>
    <row r="62" spans="2:12" ht="19.5" thickTop="1" x14ac:dyDescent="0.25">
      <c r="B62" s="15" t="str">
        <f>'Balance Sheet'!B13</f>
        <v>Total Debt</v>
      </c>
      <c r="C62" s="16">
        <f>'Balance Sheet'!C13</f>
        <v>52818</v>
      </c>
      <c r="D62" s="16">
        <f>'Balance Sheet'!D13</f>
        <v>62185</v>
      </c>
      <c r="E62" s="16">
        <f>'Balance Sheet'!E13</f>
        <v>61628</v>
      </c>
      <c r="F62" s="16">
        <f>'Balance Sheet'!F13</f>
        <v>51873</v>
      </c>
      <c r="G62" s="16">
        <f>'Balance Sheet'!G13</f>
        <v>57544</v>
      </c>
      <c r="I62" s="18"/>
      <c r="J62" s="19"/>
      <c r="K62" s="19"/>
      <c r="L62" s="20"/>
    </row>
    <row r="63" spans="2:12" ht="18.75" x14ac:dyDescent="0.25">
      <c r="B63" s="15" t="str">
        <f>'Balance Sheet'!B9</f>
        <v>Net Worth</v>
      </c>
      <c r="C63" s="16">
        <f>'Balance Sheet'!C9</f>
        <v>63508</v>
      </c>
      <c r="D63" s="16">
        <f>'Balance Sheet'!D9</f>
        <v>64308</v>
      </c>
      <c r="E63" s="16">
        <f>'Balance Sheet'!E9</f>
        <v>58209</v>
      </c>
      <c r="F63" s="16">
        <f>'Balance Sheet'!F9</f>
        <v>69398</v>
      </c>
      <c r="G63" s="16">
        <f>'Balance Sheet'!G9</f>
        <v>89651</v>
      </c>
      <c r="I63" s="21"/>
      <c r="J63" s="22"/>
      <c r="K63" s="22"/>
      <c r="L63" s="23"/>
    </row>
    <row r="64" spans="2:12" ht="19.5" thickBot="1" x14ac:dyDescent="0.3">
      <c r="B64" s="17" t="s">
        <v>167</v>
      </c>
      <c r="C64" s="17">
        <f>ROUND(C62/ C63, 2)</f>
        <v>0.83</v>
      </c>
      <c r="D64" s="17">
        <f t="shared" ref="D64:G64" si="13">ROUND(D62/ D63, 2)</f>
        <v>0.97</v>
      </c>
      <c r="E64" s="17">
        <f t="shared" si="13"/>
        <v>1.06</v>
      </c>
      <c r="F64" s="17">
        <f t="shared" si="13"/>
        <v>0.75</v>
      </c>
      <c r="G64" s="17">
        <f t="shared" si="13"/>
        <v>0.64</v>
      </c>
      <c r="I64" s="24"/>
      <c r="J64" s="25"/>
      <c r="K64" s="25"/>
      <c r="L64" s="26"/>
    </row>
    <row r="65" spans="2:12" ht="15.75" thickTop="1" x14ac:dyDescent="0.25"/>
    <row r="66" spans="2:12" ht="19.5" thickBot="1" x14ac:dyDescent="0.3">
      <c r="B66" s="14" t="s">
        <v>168</v>
      </c>
      <c r="C66" s="14"/>
      <c r="D66" s="14"/>
      <c r="E66" s="14"/>
      <c r="F66" s="14"/>
      <c r="G66" s="14"/>
    </row>
    <row r="67" spans="2:12" ht="19.5" thickTop="1" x14ac:dyDescent="0.25">
      <c r="B67" s="15" t="str">
        <f>'Balance Sheet'!B39</f>
        <v>Total Current Assets</v>
      </c>
      <c r="C67" s="16">
        <f>'Balance Sheet'!C39</f>
        <v>43764</v>
      </c>
      <c r="D67" s="16">
        <f>'Balance Sheet'!D39</f>
        <v>60546</v>
      </c>
      <c r="E67" s="16">
        <f>'Balance Sheet'!E39</f>
        <v>73985</v>
      </c>
      <c r="F67" s="16">
        <f>'Balance Sheet'!F39</f>
        <v>96728</v>
      </c>
      <c r="G67" s="16">
        <f>'Balance Sheet'!G39</f>
        <v>130050</v>
      </c>
      <c r="I67" s="18"/>
      <c r="J67" s="19"/>
      <c r="K67" s="19"/>
      <c r="L67" s="20"/>
    </row>
    <row r="68" spans="2:12" ht="18.75" x14ac:dyDescent="0.25">
      <c r="B68" s="15" t="str">
        <f>'Balance Sheet'!B19</f>
        <v>Total Current Liabilities</v>
      </c>
      <c r="C68" s="16">
        <f>'Balance Sheet'!C19</f>
        <v>52515</v>
      </c>
      <c r="D68" s="16">
        <f>'Balance Sheet'!D19</f>
        <v>62332</v>
      </c>
      <c r="E68" s="16">
        <f>'Balance Sheet'!E19</f>
        <v>50245</v>
      </c>
      <c r="F68" s="16">
        <f>'Balance Sheet'!F19</f>
        <v>56406</v>
      </c>
      <c r="G68" s="16">
        <f>'Balance Sheet'!G19</f>
        <v>58352</v>
      </c>
      <c r="I68" s="21"/>
      <c r="J68" s="22"/>
      <c r="K68" s="22"/>
      <c r="L68" s="23"/>
    </row>
    <row r="69" spans="2:12" ht="19.5" thickBot="1" x14ac:dyDescent="0.3">
      <c r="B69" s="17" t="s">
        <v>169</v>
      </c>
      <c r="C69" s="17">
        <f>ROUND(C67/ C68, 2)</f>
        <v>0.83</v>
      </c>
      <c r="D69" s="17">
        <f t="shared" ref="D69:G69" si="14">ROUND(D67/ D68, 2)</f>
        <v>0.97</v>
      </c>
      <c r="E69" s="17">
        <f t="shared" si="14"/>
        <v>1.47</v>
      </c>
      <c r="F69" s="17">
        <f t="shared" si="14"/>
        <v>1.71</v>
      </c>
      <c r="G69" s="17">
        <f t="shared" si="14"/>
        <v>2.23</v>
      </c>
      <c r="I69" s="24"/>
      <c r="J69" s="25"/>
      <c r="K69" s="25"/>
      <c r="L69" s="26"/>
    </row>
    <row r="70" spans="2:12" ht="15.75" thickTop="1" x14ac:dyDescent="0.25"/>
    <row r="71" spans="2:12" ht="18.75" x14ac:dyDescent="0.25">
      <c r="B71" s="14" t="s">
        <v>170</v>
      </c>
      <c r="C71" s="14"/>
      <c r="D71" s="14"/>
      <c r="E71" s="14"/>
      <c r="F71" s="14"/>
      <c r="G71" s="14"/>
    </row>
    <row r="72" spans="2:12" ht="19.5" thickBot="1" x14ac:dyDescent="0.3">
      <c r="B72" s="15" t="str">
        <f>'Balance Sheet'!B39</f>
        <v>Total Current Assets</v>
      </c>
      <c r="C72" s="16">
        <f>'Balance Sheet'!C39</f>
        <v>43764</v>
      </c>
      <c r="D72" s="16">
        <f>'Balance Sheet'!D39</f>
        <v>60546</v>
      </c>
      <c r="E72" s="16">
        <f>'Balance Sheet'!E39</f>
        <v>73985</v>
      </c>
      <c r="F72" s="16">
        <f>'Balance Sheet'!F39</f>
        <v>96728</v>
      </c>
      <c r="G72" s="16">
        <f>'Balance Sheet'!G39</f>
        <v>130050</v>
      </c>
    </row>
    <row r="73" spans="2:12" ht="19.5" thickTop="1" x14ac:dyDescent="0.25">
      <c r="B73" s="15" t="str">
        <f>'Balance Sheet'!B36</f>
        <v>Inventories</v>
      </c>
      <c r="C73" s="16">
        <f>'Balance Sheet'!C36</f>
        <v>11967</v>
      </c>
      <c r="D73" s="16">
        <f>'Balance Sheet'!D36</f>
        <v>13198</v>
      </c>
      <c r="E73" s="16">
        <f>'Balance Sheet'!E36</f>
        <v>11335</v>
      </c>
      <c r="F73" s="16">
        <f>'Balance Sheet'!F36</f>
        <v>9923</v>
      </c>
      <c r="G73" s="16">
        <f>'Balance Sheet'!G36</f>
        <v>14313</v>
      </c>
      <c r="I73" s="18"/>
      <c r="J73" s="19"/>
      <c r="K73" s="19"/>
      <c r="L73" s="20"/>
    </row>
    <row r="74" spans="2:12" ht="18.75" x14ac:dyDescent="0.25">
      <c r="B74" s="15" t="str">
        <f>'Balance Sheet'!B19</f>
        <v>Total Current Liabilities</v>
      </c>
      <c r="C74" s="16">
        <f>'Balance Sheet'!C19</f>
        <v>52515</v>
      </c>
      <c r="D74" s="16">
        <f>'Balance Sheet'!D19</f>
        <v>62332</v>
      </c>
      <c r="E74" s="16">
        <f>'Balance Sheet'!E19</f>
        <v>50245</v>
      </c>
      <c r="F74" s="16">
        <f>'Balance Sheet'!F19</f>
        <v>56406</v>
      </c>
      <c r="G74" s="16">
        <f>'Balance Sheet'!G19</f>
        <v>58352</v>
      </c>
      <c r="I74" s="21"/>
      <c r="J74" s="22"/>
      <c r="K74" s="22"/>
      <c r="L74" s="23"/>
    </row>
    <row r="75" spans="2:12" ht="19.5" thickBot="1" x14ac:dyDescent="0.3">
      <c r="B75" s="17" t="s">
        <v>171</v>
      </c>
      <c r="C75" s="17">
        <f>ROUND((C72-C73)/ C74, 2)</f>
        <v>0.61</v>
      </c>
      <c r="D75" s="17">
        <f t="shared" ref="D75:G75" si="15">ROUND((D72-D73)/ D74, 2)</f>
        <v>0.76</v>
      </c>
      <c r="E75" s="17">
        <f t="shared" si="15"/>
        <v>1.25</v>
      </c>
      <c r="F75" s="17">
        <f t="shared" si="15"/>
        <v>1.54</v>
      </c>
      <c r="G75" s="17">
        <f t="shared" si="15"/>
        <v>1.98</v>
      </c>
      <c r="I75" s="24"/>
      <c r="J75" s="25"/>
      <c r="K75" s="25"/>
      <c r="L75" s="26"/>
    </row>
    <row r="76" spans="2:12" ht="15.75" thickTop="1" x14ac:dyDescent="0.25"/>
    <row r="77" spans="2:12" ht="19.5" thickBot="1" x14ac:dyDescent="0.3">
      <c r="B77" s="14" t="s">
        <v>172</v>
      </c>
      <c r="C77" s="14"/>
      <c r="D77" s="14"/>
      <c r="E77" s="14"/>
      <c r="F77" s="14"/>
      <c r="G77" s="14"/>
    </row>
    <row r="78" spans="2:12" ht="19.5" thickTop="1" x14ac:dyDescent="0.25">
      <c r="B78" s="15" t="str">
        <f>'Income Statement'!B19</f>
        <v>PBIT</v>
      </c>
      <c r="C78" s="16">
        <f>'Income Statement'!C19</f>
        <v>22213</v>
      </c>
      <c r="D78" s="16">
        <f>'Income Statement'!D19</f>
        <v>18442</v>
      </c>
      <c r="E78" s="16">
        <f>'Income Statement'!E19</f>
        <v>14444</v>
      </c>
      <c r="F78" s="16">
        <f>'Income Statement'!F19</f>
        <v>22776</v>
      </c>
      <c r="G78" s="16">
        <f>'Income Statement'!G19</f>
        <v>35073</v>
      </c>
      <c r="I78" s="18"/>
      <c r="J78" s="19"/>
      <c r="K78" s="19"/>
      <c r="L78" s="20"/>
    </row>
    <row r="79" spans="2:12" ht="18.75" x14ac:dyDescent="0.25">
      <c r="B79" s="15" t="str">
        <f>'Income Statement'!B20</f>
        <v>Finance Costs</v>
      </c>
      <c r="C79" s="16">
        <f>'Income Statement'!C20</f>
        <v>5783</v>
      </c>
      <c r="D79" s="16">
        <f>'Income Statement'!D20</f>
        <v>5689</v>
      </c>
      <c r="E79" s="16">
        <f>'Income Statement'!E20</f>
        <v>4977</v>
      </c>
      <c r="F79" s="16">
        <f>'Income Statement'!F20</f>
        <v>5210</v>
      </c>
      <c r="G79" s="16">
        <f>'Income Statement'!G20</f>
        <v>4797</v>
      </c>
      <c r="I79" s="21"/>
      <c r="J79" s="22"/>
      <c r="K79" s="22"/>
      <c r="L79" s="23"/>
    </row>
    <row r="80" spans="2:12" ht="19.5" thickBot="1" x14ac:dyDescent="0.3">
      <c r="B80" s="17" t="s">
        <v>173</v>
      </c>
      <c r="C80" s="17">
        <f>ROUND(C78/C79, 2)</f>
        <v>3.84</v>
      </c>
      <c r="D80" s="17">
        <f t="shared" ref="D80:G80" si="16">ROUND(D78/D79, 2)</f>
        <v>3.24</v>
      </c>
      <c r="E80" s="17">
        <f t="shared" si="16"/>
        <v>2.9</v>
      </c>
      <c r="F80" s="17">
        <f t="shared" si="16"/>
        <v>4.37</v>
      </c>
      <c r="G80" s="17">
        <f t="shared" si="16"/>
        <v>7.31</v>
      </c>
      <c r="I80" s="24"/>
      <c r="J80" s="25"/>
      <c r="K80" s="25"/>
      <c r="L80" s="26"/>
    </row>
    <row r="81" spans="2:12" ht="15.75" thickTop="1" x14ac:dyDescent="0.25"/>
    <row r="82" spans="2:12" ht="19.5" thickBot="1" x14ac:dyDescent="0.3">
      <c r="B82" s="14" t="s">
        <v>174</v>
      </c>
      <c r="C82" s="14"/>
      <c r="D82" s="14"/>
      <c r="E82" s="14"/>
      <c r="F82" s="14"/>
      <c r="G82" s="14"/>
    </row>
    <row r="83" spans="2:12" ht="19.5" thickTop="1" x14ac:dyDescent="0.25">
      <c r="B83" s="15" t="str">
        <f>'Income Statement'!B11</f>
        <v>Cost Of Materials Consumed</v>
      </c>
      <c r="C83" s="16">
        <f>'Income Statement'!C11</f>
        <v>31582</v>
      </c>
      <c r="D83" s="16">
        <f>'Income Statement'!D11</f>
        <v>25490</v>
      </c>
      <c r="E83" s="16">
        <f>'Income Statement'!E11</f>
        <v>21261</v>
      </c>
      <c r="F83" s="16">
        <f>'Income Statement'!F11</f>
        <v>22849</v>
      </c>
      <c r="G83" s="16">
        <f>'Income Statement'!G11</f>
        <v>37172</v>
      </c>
      <c r="I83" s="18"/>
      <c r="J83" s="19"/>
      <c r="K83" s="19"/>
      <c r="L83" s="20"/>
    </row>
    <row r="84" spans="2:12" ht="18.75" x14ac:dyDescent="0.25">
      <c r="B84" s="15" t="str">
        <f>'Income Statement'!B7</f>
        <v>Net Sales</v>
      </c>
      <c r="C84" s="16">
        <f>'Income Statement'!C7</f>
        <v>90954</v>
      </c>
      <c r="D84" s="16">
        <f>'Income Statement'!D7</f>
        <v>90901</v>
      </c>
      <c r="E84" s="16">
        <f>'Income Statement'!E7</f>
        <v>83545</v>
      </c>
      <c r="F84" s="16">
        <f>'Income Statement'!F7</f>
        <v>86863</v>
      </c>
      <c r="G84" s="16">
        <f>'Income Statement'!G7</f>
        <v>131192</v>
      </c>
      <c r="I84" s="21"/>
      <c r="J84" s="22"/>
      <c r="K84" s="22"/>
      <c r="L84" s="23"/>
    </row>
    <row r="85" spans="2:12" ht="19.5" thickBot="1" x14ac:dyDescent="0.3">
      <c r="B85" s="17" t="s">
        <v>175</v>
      </c>
      <c r="C85" s="17">
        <f>ROUND(C83/C84, 2)</f>
        <v>0.35</v>
      </c>
      <c r="D85" s="17">
        <f t="shared" ref="D85:G85" si="17">ROUND(D83/D84, 2)</f>
        <v>0.28000000000000003</v>
      </c>
      <c r="E85" s="17">
        <f t="shared" si="17"/>
        <v>0.25</v>
      </c>
      <c r="F85" s="17">
        <f t="shared" si="17"/>
        <v>0.26</v>
      </c>
      <c r="G85" s="17">
        <f t="shared" si="17"/>
        <v>0.28000000000000003</v>
      </c>
      <c r="I85" s="24"/>
      <c r="J85" s="25"/>
      <c r="K85" s="25"/>
      <c r="L85" s="26"/>
    </row>
    <row r="86" spans="2:12" ht="15.75" thickTop="1" x14ac:dyDescent="0.25"/>
    <row r="87" spans="2:12" ht="19.5" thickBot="1" x14ac:dyDescent="0.3">
      <c r="B87" s="14" t="s">
        <v>176</v>
      </c>
      <c r="C87" s="14"/>
      <c r="D87" s="14"/>
      <c r="E87" s="14"/>
      <c r="F87" s="14"/>
      <c r="G87" s="14"/>
    </row>
    <row r="88" spans="2:12" ht="19.5" thickTop="1" x14ac:dyDescent="0.25">
      <c r="B88" s="15" t="str">
        <f>'Balance Sheet'!B38</f>
        <v>Cash And Cash Equivalents</v>
      </c>
      <c r="C88" s="16">
        <f>'Balance Sheet'!C38</f>
        <v>5216</v>
      </c>
      <c r="D88" s="16">
        <f>'Balance Sheet'!D38</f>
        <v>21293</v>
      </c>
      <c r="E88" s="16">
        <f>'Balance Sheet'!E38</f>
        <v>35107</v>
      </c>
      <c r="F88" s="16">
        <f>'Balance Sheet'!F38</f>
        <v>51104</v>
      </c>
      <c r="G88" s="16">
        <f>'Balance Sheet'!G38</f>
        <v>73678</v>
      </c>
      <c r="I88" s="18"/>
      <c r="J88" s="19"/>
      <c r="K88" s="19"/>
      <c r="L88" s="20"/>
    </row>
    <row r="89" spans="2:12" ht="18.75" x14ac:dyDescent="0.25">
      <c r="B89" s="15" t="str">
        <f>'Income Statement'!B11</f>
        <v>Cost Of Materials Consumed</v>
      </c>
      <c r="C89" s="16">
        <f>'Income Statement'!C11</f>
        <v>31582</v>
      </c>
      <c r="D89" s="16">
        <f>'Income Statement'!D11</f>
        <v>25490</v>
      </c>
      <c r="E89" s="16">
        <f>'Income Statement'!E11</f>
        <v>21261</v>
      </c>
      <c r="F89" s="16">
        <f>'Income Statement'!F11</f>
        <v>22849</v>
      </c>
      <c r="G89" s="16">
        <f>'Income Statement'!G11</f>
        <v>37172</v>
      </c>
      <c r="I89" s="21"/>
      <c r="J89" s="22"/>
      <c r="K89" s="22"/>
      <c r="L89" s="23"/>
    </row>
    <row r="90" spans="2:12" ht="19.5" thickBot="1" x14ac:dyDescent="0.3">
      <c r="B90" s="17" t="s">
        <v>177</v>
      </c>
      <c r="C90" s="17">
        <f>ROUND(C88/C89*365, 2)</f>
        <v>60.28</v>
      </c>
      <c r="D90" s="17">
        <f t="shared" ref="D90:G90" si="18">ROUND(D88/D89*365, 2)</f>
        <v>304.89999999999998</v>
      </c>
      <c r="E90" s="17">
        <f t="shared" si="18"/>
        <v>602.70000000000005</v>
      </c>
      <c r="F90" s="17">
        <f t="shared" si="18"/>
        <v>816.36</v>
      </c>
      <c r="G90" s="17">
        <f t="shared" si="18"/>
        <v>723.46</v>
      </c>
      <c r="I90" s="24"/>
      <c r="J90" s="25"/>
      <c r="K90" s="25"/>
      <c r="L90" s="26"/>
    </row>
    <row r="91" spans="2:12" ht="15.75" thickTop="1" x14ac:dyDescent="0.25"/>
    <row r="92" spans="2:12" ht="19.5" thickBot="1" x14ac:dyDescent="0.3">
      <c r="B92" s="14" t="s">
        <v>178</v>
      </c>
      <c r="C92" s="14"/>
      <c r="D92" s="14"/>
      <c r="E92" s="14"/>
      <c r="F92" s="14"/>
      <c r="G92" s="14"/>
    </row>
    <row r="93" spans="2:12" ht="19.5" thickTop="1" x14ac:dyDescent="0.25">
      <c r="B93" s="15" t="str">
        <f>'Balance Sheet'!B38</f>
        <v>Cash And Cash Equivalents</v>
      </c>
      <c r="C93" s="16">
        <f>'Balance Sheet'!C38</f>
        <v>5216</v>
      </c>
      <c r="D93" s="16">
        <f>'Balance Sheet'!D38</f>
        <v>21293</v>
      </c>
      <c r="E93" s="16">
        <f>'Balance Sheet'!E38</f>
        <v>35107</v>
      </c>
      <c r="F93" s="16">
        <f>'Balance Sheet'!F38</f>
        <v>51104</v>
      </c>
      <c r="G93" s="16">
        <f>'Balance Sheet'!G38</f>
        <v>73678</v>
      </c>
      <c r="I93" s="18"/>
      <c r="J93" s="19"/>
      <c r="K93" s="19"/>
      <c r="L93" s="20"/>
    </row>
    <row r="94" spans="2:12" ht="18.75" x14ac:dyDescent="0.25">
      <c r="B94" s="15" t="s">
        <v>179</v>
      </c>
      <c r="C94" s="16">
        <v>365</v>
      </c>
      <c r="D94" s="16">
        <v>365</v>
      </c>
      <c r="E94" s="16">
        <v>365</v>
      </c>
      <c r="F94" s="16">
        <v>365</v>
      </c>
      <c r="G94" s="16">
        <v>365</v>
      </c>
      <c r="I94" s="21"/>
      <c r="J94" s="22"/>
      <c r="K94" s="22"/>
      <c r="L94" s="23"/>
    </row>
    <row r="95" spans="2:12" ht="19.5" thickBot="1" x14ac:dyDescent="0.3">
      <c r="B95" s="17" t="s">
        <v>180</v>
      </c>
      <c r="C95" s="17">
        <f>ROUND(C93/C94*365, 2)</f>
        <v>5216</v>
      </c>
      <c r="D95" s="17">
        <f t="shared" ref="D95:G95" si="19">ROUND(D93/D94*365, 2)</f>
        <v>21293</v>
      </c>
      <c r="E95" s="17">
        <f t="shared" si="19"/>
        <v>35107</v>
      </c>
      <c r="F95" s="17">
        <f t="shared" si="19"/>
        <v>51104</v>
      </c>
      <c r="G95" s="17">
        <f t="shared" si="19"/>
        <v>73678</v>
      </c>
      <c r="I95" s="24"/>
      <c r="J95" s="25"/>
      <c r="K95" s="25"/>
      <c r="L95" s="26"/>
    </row>
    <row r="96" spans="2:12" ht="15.75" thickTop="1" x14ac:dyDescent="0.25"/>
    <row r="97" spans="2:12" ht="19.5" thickBot="1" x14ac:dyDescent="0.3">
      <c r="B97" s="14" t="s">
        <v>181</v>
      </c>
      <c r="C97" s="14"/>
      <c r="D97" s="14"/>
      <c r="E97" s="14"/>
      <c r="F97" s="14"/>
      <c r="G97" s="14"/>
    </row>
    <row r="98" spans="2:12" ht="19.5" thickTop="1" x14ac:dyDescent="0.25">
      <c r="B98" s="15" t="str">
        <f>'Income Statement'!B5</f>
        <v>Gross Sales</v>
      </c>
      <c r="C98" s="16">
        <f>'Income Statement'!C5</f>
        <v>92011</v>
      </c>
      <c r="D98" s="16">
        <f>'Income Statement'!D5</f>
        <v>90901</v>
      </c>
      <c r="E98" s="16">
        <f>'Income Statement'!E5</f>
        <v>83545</v>
      </c>
      <c r="F98" s="16">
        <f>'Income Statement'!F5</f>
        <v>86863</v>
      </c>
      <c r="G98" s="16">
        <f>'Income Statement'!G5</f>
        <v>131192</v>
      </c>
      <c r="I98" s="18"/>
      <c r="J98" s="19"/>
      <c r="K98" s="19"/>
      <c r="L98" s="20"/>
    </row>
    <row r="99" spans="2:12" ht="18.75" x14ac:dyDescent="0.25">
      <c r="B99" s="15" t="str">
        <f>'Balance Sheet'!B40</f>
        <v>Total Assets</v>
      </c>
      <c r="C99" s="16">
        <f>'Balance Sheet'!C40</f>
        <v>184798</v>
      </c>
      <c r="D99" s="16">
        <f>'Balance Sheet'!D40</f>
        <v>204052</v>
      </c>
      <c r="E99" s="16">
        <f>'Balance Sheet'!E40</f>
        <v>187194</v>
      </c>
      <c r="F99" s="16">
        <f>'Balance Sheet'!F40</f>
        <v>192815</v>
      </c>
      <c r="G99" s="16">
        <f>'Balance Sheet'!G40</f>
        <v>222868</v>
      </c>
      <c r="I99" s="21"/>
      <c r="J99" s="22"/>
      <c r="K99" s="22"/>
      <c r="L99" s="23"/>
    </row>
    <row r="100" spans="2:12" ht="19.5" thickBot="1" x14ac:dyDescent="0.3">
      <c r="B100" s="17" t="s">
        <v>182</v>
      </c>
      <c r="C100" s="17">
        <f>ROUND(C98/C99, 2)</f>
        <v>0.5</v>
      </c>
      <c r="D100" s="17">
        <f t="shared" ref="D100:G100" si="20">ROUND(D98/D99, 2)</f>
        <v>0.45</v>
      </c>
      <c r="E100" s="17">
        <f t="shared" si="20"/>
        <v>0.45</v>
      </c>
      <c r="F100" s="17">
        <f t="shared" si="20"/>
        <v>0.45</v>
      </c>
      <c r="G100" s="17">
        <f t="shared" si="20"/>
        <v>0.59</v>
      </c>
      <c r="I100" s="24"/>
      <c r="J100" s="25"/>
      <c r="K100" s="25"/>
      <c r="L100" s="26"/>
    </row>
    <row r="101" spans="2:12" ht="15.75" thickTop="1" x14ac:dyDescent="0.25"/>
    <row r="102" spans="2:12" ht="19.5" thickBot="1" x14ac:dyDescent="0.3">
      <c r="B102" s="14" t="s">
        <v>183</v>
      </c>
      <c r="C102" s="14"/>
      <c r="D102" s="14"/>
      <c r="E102" s="14"/>
      <c r="F102" s="14"/>
      <c r="G102" s="14"/>
    </row>
    <row r="103" spans="2:12" ht="19.5" thickTop="1" x14ac:dyDescent="0.25">
      <c r="B103" s="15" t="str">
        <f>'Income Statement'!B5</f>
        <v>Gross Sales</v>
      </c>
      <c r="C103" s="16">
        <f>'Income Statement'!C5</f>
        <v>92011</v>
      </c>
      <c r="D103" s="16">
        <f>'Income Statement'!D5</f>
        <v>90901</v>
      </c>
      <c r="E103" s="16">
        <f>'Income Statement'!E5</f>
        <v>83545</v>
      </c>
      <c r="F103" s="16">
        <f>'Income Statement'!F5</f>
        <v>86863</v>
      </c>
      <c r="G103" s="16">
        <f>'Income Statement'!G5</f>
        <v>131192</v>
      </c>
      <c r="I103" s="18"/>
      <c r="J103" s="19"/>
      <c r="K103" s="19"/>
      <c r="L103" s="20"/>
    </row>
    <row r="104" spans="2:12" ht="18.75" x14ac:dyDescent="0.25">
      <c r="B104" s="15" t="str">
        <f>'Balance Sheet'!B36</f>
        <v>Inventories</v>
      </c>
      <c r="C104" s="16">
        <f>'Balance Sheet'!C36</f>
        <v>11967</v>
      </c>
      <c r="D104" s="16">
        <f>'Balance Sheet'!D36</f>
        <v>13198</v>
      </c>
      <c r="E104" s="16">
        <f>'Balance Sheet'!E36</f>
        <v>11335</v>
      </c>
      <c r="F104" s="16">
        <f>'Balance Sheet'!F36</f>
        <v>9923</v>
      </c>
      <c r="G104" s="16">
        <f>'Balance Sheet'!G36</f>
        <v>14313</v>
      </c>
      <c r="I104" s="21"/>
      <c r="J104" s="22"/>
      <c r="K104" s="22"/>
      <c r="L104" s="23"/>
    </row>
    <row r="105" spans="2:12" ht="19.5" thickBot="1" x14ac:dyDescent="0.3">
      <c r="B105" s="17" t="s">
        <v>184</v>
      </c>
      <c r="C105" s="17">
        <f>ROUND(C103/C104, 2)</f>
        <v>7.69</v>
      </c>
      <c r="D105" s="17">
        <f t="shared" ref="D105:G105" si="21">ROUND(D103/D104, 2)</f>
        <v>6.89</v>
      </c>
      <c r="E105" s="17">
        <f t="shared" si="21"/>
        <v>7.37</v>
      </c>
      <c r="F105" s="17">
        <f t="shared" si="21"/>
        <v>8.75</v>
      </c>
      <c r="G105" s="17">
        <f t="shared" si="21"/>
        <v>9.17</v>
      </c>
      <c r="I105" s="24"/>
      <c r="J105" s="25"/>
      <c r="K105" s="25"/>
      <c r="L105" s="26"/>
    </row>
    <row r="106" spans="2:12" ht="15.75" thickTop="1" x14ac:dyDescent="0.25"/>
    <row r="107" spans="2:12" ht="19.5" thickBot="1" x14ac:dyDescent="0.3">
      <c r="B107" s="14" t="s">
        <v>185</v>
      </c>
      <c r="C107" s="14"/>
      <c r="D107" s="14"/>
      <c r="E107" s="14"/>
      <c r="F107" s="14"/>
      <c r="G107" s="14"/>
    </row>
    <row r="108" spans="2:12" ht="19.5" thickTop="1" x14ac:dyDescent="0.25">
      <c r="B108" s="15" t="str">
        <f>'Income Statement'!B5</f>
        <v>Gross Sales</v>
      </c>
      <c r="C108" s="16">
        <f>'Income Statement'!C5</f>
        <v>92011</v>
      </c>
      <c r="D108" s="16">
        <f>'Income Statement'!D5</f>
        <v>90901</v>
      </c>
      <c r="E108" s="16">
        <f>'Income Statement'!E5</f>
        <v>83545</v>
      </c>
      <c r="F108" s="16">
        <f>'Income Statement'!F5</f>
        <v>86863</v>
      </c>
      <c r="G108" s="16">
        <f>'Income Statement'!G5</f>
        <v>131192</v>
      </c>
      <c r="I108" s="18"/>
      <c r="J108" s="19"/>
      <c r="K108" s="19"/>
      <c r="L108" s="20"/>
    </row>
    <row r="109" spans="2:12" ht="18.75" x14ac:dyDescent="0.25">
      <c r="B109" s="15" t="str">
        <f>'Balance Sheet'!B37</f>
        <v>Trade Receivables</v>
      </c>
      <c r="C109" s="16">
        <f>'Balance Sheet'!C37</f>
        <v>3969</v>
      </c>
      <c r="D109" s="16">
        <f>'Balance Sheet'!D37</f>
        <v>3982</v>
      </c>
      <c r="E109" s="16">
        <f>'Balance Sheet'!E37</f>
        <v>2697</v>
      </c>
      <c r="F109" s="16">
        <f>'Balance Sheet'!F37</f>
        <v>3491</v>
      </c>
      <c r="G109" s="16">
        <f>'Balance Sheet'!G37</f>
        <v>4946</v>
      </c>
      <c r="I109" s="21"/>
      <c r="J109" s="22"/>
      <c r="K109" s="22"/>
      <c r="L109" s="23"/>
    </row>
    <row r="110" spans="2:12" ht="19.5" thickBot="1" x14ac:dyDescent="0.3">
      <c r="B110" s="17" t="s">
        <v>186</v>
      </c>
      <c r="C110" s="17">
        <f>ROUND(C108/C109, 2)</f>
        <v>23.18</v>
      </c>
      <c r="D110" s="17">
        <f t="shared" ref="D110:G110" si="22">ROUND(D108/D109, 2)</f>
        <v>22.83</v>
      </c>
      <c r="E110" s="17">
        <f t="shared" si="22"/>
        <v>30.98</v>
      </c>
      <c r="F110" s="17">
        <f t="shared" si="22"/>
        <v>24.88</v>
      </c>
      <c r="G110" s="17">
        <f t="shared" si="22"/>
        <v>26.52</v>
      </c>
      <c r="I110" s="24"/>
      <c r="J110" s="25"/>
      <c r="K110" s="25"/>
      <c r="L110" s="26"/>
    </row>
    <row r="111" spans="2:12" ht="15.75" thickTop="1" x14ac:dyDescent="0.25"/>
    <row r="112" spans="2:12" ht="19.5" thickBot="1" x14ac:dyDescent="0.3">
      <c r="B112" s="14" t="s">
        <v>187</v>
      </c>
      <c r="C112" s="14"/>
      <c r="D112" s="14"/>
      <c r="E112" s="14"/>
      <c r="F112" s="14"/>
      <c r="G112" s="14"/>
    </row>
    <row r="113" spans="2:12" ht="19.5" thickTop="1" x14ac:dyDescent="0.25">
      <c r="B113" s="15" t="str">
        <f>'Income Statement'!B5</f>
        <v>Gross Sales</v>
      </c>
      <c r="C113" s="16">
        <f>'Income Statement'!C5</f>
        <v>92011</v>
      </c>
      <c r="D113" s="16">
        <f>'Income Statement'!D5</f>
        <v>90901</v>
      </c>
      <c r="E113" s="16">
        <f>'Income Statement'!E5</f>
        <v>83545</v>
      </c>
      <c r="F113" s="16">
        <f>'Income Statement'!F5</f>
        <v>86863</v>
      </c>
      <c r="G113" s="16">
        <f>'Income Statement'!G5</f>
        <v>131192</v>
      </c>
      <c r="I113" s="18"/>
      <c r="J113" s="19"/>
      <c r="K113" s="19"/>
      <c r="L113" s="20"/>
    </row>
    <row r="114" spans="2:12" ht="18.75" x14ac:dyDescent="0.25">
      <c r="B114" s="15" t="str">
        <f>'Balance Sheet'!B23</f>
        <v>Tangible Assets</v>
      </c>
      <c r="C114" s="16">
        <f>'Balance Sheet'!C23</f>
        <v>79330</v>
      </c>
      <c r="D114" s="16">
        <f>'Balance Sheet'!D23</f>
        <v>95515</v>
      </c>
      <c r="E114" s="16">
        <f>'Balance Sheet'!E23</f>
        <v>88022</v>
      </c>
      <c r="F114" s="16">
        <f>'Balance Sheet'!F23</f>
        <v>89429</v>
      </c>
      <c r="G114" s="16">
        <f>'Balance Sheet'!G23</f>
        <v>109345</v>
      </c>
      <c r="I114" s="21"/>
      <c r="J114" s="22"/>
      <c r="K114" s="22"/>
      <c r="L114" s="23"/>
    </row>
    <row r="115" spans="2:12" ht="19.5" thickBot="1" x14ac:dyDescent="0.3">
      <c r="B115" s="17" t="s">
        <v>188</v>
      </c>
      <c r="C115" s="17">
        <f>ROUND(C113/C114, 2)</f>
        <v>1.1599999999999999</v>
      </c>
      <c r="D115" s="17">
        <f t="shared" ref="D115:G115" si="23">ROUND(D113/D114, 2)</f>
        <v>0.95</v>
      </c>
      <c r="E115" s="17">
        <f t="shared" si="23"/>
        <v>0.95</v>
      </c>
      <c r="F115" s="17">
        <f t="shared" si="23"/>
        <v>0.97</v>
      </c>
      <c r="G115" s="17">
        <f t="shared" si="23"/>
        <v>1.2</v>
      </c>
      <c r="I115" s="24"/>
      <c r="J115" s="25"/>
      <c r="K115" s="25"/>
      <c r="L115" s="26"/>
    </row>
    <row r="116" spans="2:12" ht="15.75" thickTop="1" x14ac:dyDescent="0.25"/>
    <row r="117" spans="2:12" ht="19.5" thickBot="1" x14ac:dyDescent="0.3">
      <c r="B117" s="14" t="s">
        <v>189</v>
      </c>
      <c r="C117" s="14"/>
      <c r="D117" s="14"/>
      <c r="E117" s="14"/>
      <c r="F117" s="14"/>
      <c r="G117" s="14"/>
    </row>
    <row r="118" spans="2:12" ht="19.5" thickTop="1" x14ac:dyDescent="0.25">
      <c r="B118" s="15" t="str">
        <f>'Income Statement'!B11</f>
        <v>Cost Of Materials Consumed</v>
      </c>
      <c r="C118" s="16">
        <f>'Income Statement'!C11</f>
        <v>31582</v>
      </c>
      <c r="D118" s="16">
        <f>'Income Statement'!D11</f>
        <v>25490</v>
      </c>
      <c r="E118" s="16">
        <f>'Income Statement'!E11</f>
        <v>21261</v>
      </c>
      <c r="F118" s="16">
        <f>'Income Statement'!F11</f>
        <v>22849</v>
      </c>
      <c r="G118" s="16">
        <f>'Income Statement'!G11</f>
        <v>37172</v>
      </c>
      <c r="I118" s="18"/>
      <c r="J118" s="19"/>
      <c r="K118" s="19"/>
      <c r="L118" s="20"/>
    </row>
    <row r="119" spans="2:12" ht="18.75" x14ac:dyDescent="0.25">
      <c r="B119" s="15" t="str">
        <f>'Balance Sheet'!B19</f>
        <v>Total Current Liabilities</v>
      </c>
      <c r="C119" s="16">
        <f>'Balance Sheet'!C19</f>
        <v>52515</v>
      </c>
      <c r="D119" s="16">
        <f>'Balance Sheet'!D19</f>
        <v>62332</v>
      </c>
      <c r="E119" s="16">
        <f>'Balance Sheet'!E19</f>
        <v>50245</v>
      </c>
      <c r="F119" s="16">
        <f>'Balance Sheet'!F19</f>
        <v>56406</v>
      </c>
      <c r="G119" s="16">
        <f>'Balance Sheet'!G19</f>
        <v>58352</v>
      </c>
      <c r="I119" s="21"/>
      <c r="J119" s="22"/>
      <c r="K119" s="22"/>
      <c r="L119" s="23"/>
    </row>
    <row r="120" spans="2:12" ht="19.5" thickBot="1" x14ac:dyDescent="0.3">
      <c r="B120" s="17" t="s">
        <v>190</v>
      </c>
      <c r="C120" s="17">
        <f>ROUND(C118/C119, 2)</f>
        <v>0.6</v>
      </c>
      <c r="D120" s="17">
        <f t="shared" ref="D120:G120" si="24">ROUND(D118/D119, 2)</f>
        <v>0.41</v>
      </c>
      <c r="E120" s="17">
        <f t="shared" si="24"/>
        <v>0.42</v>
      </c>
      <c r="F120" s="17">
        <f t="shared" si="24"/>
        <v>0.41</v>
      </c>
      <c r="G120" s="17">
        <f t="shared" si="24"/>
        <v>0.64</v>
      </c>
      <c r="I120" s="24"/>
      <c r="J120" s="25"/>
      <c r="K120" s="25"/>
      <c r="L120" s="26"/>
    </row>
    <row r="121" spans="2:12" ht="15.75" thickTop="1" x14ac:dyDescent="0.25"/>
    <row r="122" spans="2:12" ht="19.5" thickBot="1" x14ac:dyDescent="0.3">
      <c r="B122" s="14" t="s">
        <v>191</v>
      </c>
      <c r="C122" s="14"/>
      <c r="D122" s="14"/>
      <c r="E122" s="14"/>
      <c r="F122" s="14"/>
      <c r="G122" s="14"/>
    </row>
    <row r="123" spans="2:12" ht="19.5" thickTop="1" x14ac:dyDescent="0.25">
      <c r="B123" s="15" t="str">
        <f>'Income Statement'!B5</f>
        <v>Gross Sales</v>
      </c>
      <c r="C123" s="16">
        <f>'Income Statement'!C5</f>
        <v>92011</v>
      </c>
      <c r="D123" s="16">
        <f>'Income Statement'!D5</f>
        <v>90901</v>
      </c>
      <c r="E123" s="16">
        <f>'Income Statement'!E5</f>
        <v>83545</v>
      </c>
      <c r="F123" s="16">
        <f>'Income Statement'!F5</f>
        <v>86863</v>
      </c>
      <c r="G123" s="16">
        <f>'Income Statement'!G5</f>
        <v>131192</v>
      </c>
      <c r="I123" s="18"/>
      <c r="J123" s="19"/>
      <c r="K123" s="19"/>
      <c r="L123" s="20"/>
    </row>
    <row r="124" spans="2:12" ht="18.75" x14ac:dyDescent="0.25">
      <c r="B124" s="15" t="str">
        <f>'Balance Sheet'!B36</f>
        <v>Inventories</v>
      </c>
      <c r="C124" s="16">
        <f>'Balance Sheet'!C36</f>
        <v>11967</v>
      </c>
      <c r="D124" s="16">
        <f>'Balance Sheet'!D36</f>
        <v>13198</v>
      </c>
      <c r="E124" s="16">
        <f>'Balance Sheet'!E36</f>
        <v>11335</v>
      </c>
      <c r="F124" s="16">
        <f>'Balance Sheet'!F36</f>
        <v>9923</v>
      </c>
      <c r="G124" s="16">
        <f>'Balance Sheet'!G36</f>
        <v>14313</v>
      </c>
      <c r="I124" s="21"/>
      <c r="J124" s="22"/>
      <c r="K124" s="22"/>
      <c r="L124" s="23"/>
    </row>
    <row r="125" spans="2:12" ht="19.5" thickBot="1" x14ac:dyDescent="0.3">
      <c r="B125" s="17" t="s">
        <v>192</v>
      </c>
      <c r="C125" s="17">
        <f>ROUND(365/C123*C124, 2)</f>
        <v>47.47</v>
      </c>
      <c r="D125" s="17">
        <f t="shared" ref="D125:G125" si="25">ROUND(365/D123*D124, 2)</f>
        <v>52.99</v>
      </c>
      <c r="E125" s="17">
        <f t="shared" si="25"/>
        <v>49.52</v>
      </c>
      <c r="F125" s="17">
        <f t="shared" si="25"/>
        <v>41.7</v>
      </c>
      <c r="G125" s="17">
        <f t="shared" si="25"/>
        <v>39.82</v>
      </c>
      <c r="I125" s="24"/>
      <c r="J125" s="25"/>
      <c r="K125" s="25"/>
      <c r="L125" s="26"/>
    </row>
    <row r="126" spans="2:12" ht="15.75" thickTop="1" x14ac:dyDescent="0.25"/>
    <row r="127" spans="2:12" ht="19.5" thickBot="1" x14ac:dyDescent="0.3">
      <c r="B127" s="14" t="s">
        <v>193</v>
      </c>
      <c r="C127" s="14"/>
      <c r="D127" s="14"/>
      <c r="E127" s="14"/>
      <c r="F127" s="14"/>
      <c r="G127" s="14"/>
    </row>
    <row r="128" spans="2:12" ht="19.5" thickTop="1" x14ac:dyDescent="0.25">
      <c r="B128" s="15" t="str">
        <f>'Income Statement'!B11</f>
        <v>Cost Of Materials Consumed</v>
      </c>
      <c r="C128" s="16">
        <f>'Income Statement'!C11</f>
        <v>31582</v>
      </c>
      <c r="D128" s="16">
        <f>'Income Statement'!D11</f>
        <v>25490</v>
      </c>
      <c r="E128" s="16">
        <f>'Income Statement'!E11</f>
        <v>21261</v>
      </c>
      <c r="F128" s="16">
        <f>'Income Statement'!F11</f>
        <v>22849</v>
      </c>
      <c r="G128" s="16">
        <f>'Income Statement'!G11</f>
        <v>37172</v>
      </c>
      <c r="I128" s="18"/>
      <c r="J128" s="19"/>
      <c r="K128" s="19"/>
      <c r="L128" s="20"/>
    </row>
    <row r="129" spans="2:12" ht="18.75" x14ac:dyDescent="0.25">
      <c r="B129" s="15" t="str">
        <f>'Balance Sheet'!B19</f>
        <v>Total Current Liabilities</v>
      </c>
      <c r="C129" s="16">
        <f>'Balance Sheet'!C19</f>
        <v>52515</v>
      </c>
      <c r="D129" s="16">
        <f>'Balance Sheet'!D19</f>
        <v>62332</v>
      </c>
      <c r="E129" s="16">
        <f>'Balance Sheet'!E19</f>
        <v>50245</v>
      </c>
      <c r="F129" s="16">
        <f>'Balance Sheet'!F19</f>
        <v>56406</v>
      </c>
      <c r="G129" s="16">
        <f>'Balance Sheet'!G19</f>
        <v>58352</v>
      </c>
      <c r="I129" s="21"/>
      <c r="J129" s="22"/>
      <c r="K129" s="22"/>
      <c r="L129" s="23"/>
    </row>
    <row r="130" spans="2:12" ht="19.5" thickBot="1" x14ac:dyDescent="0.3">
      <c r="B130" s="17" t="s">
        <v>194</v>
      </c>
      <c r="C130" s="17">
        <f>ROUND(365/C128*C129, 2)</f>
        <v>606.92999999999995</v>
      </c>
      <c r="D130" s="17">
        <f t="shared" ref="D130:G130" si="26">ROUND(365/D128*D129, 2)</f>
        <v>892.55</v>
      </c>
      <c r="E130" s="17">
        <f t="shared" si="26"/>
        <v>862.59</v>
      </c>
      <c r="F130" s="17">
        <f t="shared" si="26"/>
        <v>901.05</v>
      </c>
      <c r="G130" s="17">
        <f t="shared" si="26"/>
        <v>572.97</v>
      </c>
      <c r="I130" s="24"/>
      <c r="J130" s="25"/>
      <c r="K130" s="25"/>
      <c r="L130" s="26"/>
    </row>
    <row r="131" spans="2:12" ht="15.75" thickTop="1" x14ac:dyDescent="0.25"/>
    <row r="132" spans="2:12" ht="19.5" thickBot="1" x14ac:dyDescent="0.3">
      <c r="B132" s="14" t="s">
        <v>195</v>
      </c>
      <c r="C132" s="14"/>
      <c r="D132" s="14"/>
      <c r="E132" s="14"/>
      <c r="F132" s="14"/>
      <c r="G132" s="14"/>
    </row>
    <row r="133" spans="2:12" ht="19.5" thickTop="1" x14ac:dyDescent="0.25">
      <c r="B133" s="15" t="str">
        <f>'Income Statement'!B5</f>
        <v>Gross Sales</v>
      </c>
      <c r="C133" s="16">
        <f>'Income Statement'!C5</f>
        <v>92011</v>
      </c>
      <c r="D133" s="16">
        <f>'Income Statement'!D5</f>
        <v>90901</v>
      </c>
      <c r="E133" s="16">
        <f>'Income Statement'!E5</f>
        <v>83545</v>
      </c>
      <c r="F133" s="16">
        <f>'Income Statement'!F5</f>
        <v>86863</v>
      </c>
      <c r="G133" s="16">
        <f>'Income Statement'!G5</f>
        <v>131192</v>
      </c>
      <c r="I133" s="18"/>
      <c r="J133" s="19"/>
      <c r="K133" s="19"/>
      <c r="L133" s="20"/>
    </row>
    <row r="134" spans="2:12" ht="18.75" x14ac:dyDescent="0.25">
      <c r="B134" s="15" t="str">
        <f>'Balance Sheet'!B37</f>
        <v>Trade Receivables</v>
      </c>
      <c r="C134" s="16">
        <f>'Balance Sheet'!C37</f>
        <v>3969</v>
      </c>
      <c r="D134" s="16">
        <f>'Balance Sheet'!D37</f>
        <v>3982</v>
      </c>
      <c r="E134" s="16">
        <f>'Balance Sheet'!E37</f>
        <v>2697</v>
      </c>
      <c r="F134" s="16">
        <f>'Balance Sheet'!F37</f>
        <v>3491</v>
      </c>
      <c r="G134" s="16">
        <f>'Balance Sheet'!G37</f>
        <v>4946</v>
      </c>
      <c r="I134" s="21"/>
      <c r="J134" s="22"/>
      <c r="K134" s="22"/>
      <c r="L134" s="23"/>
    </row>
    <row r="135" spans="2:12" ht="19.5" thickBot="1" x14ac:dyDescent="0.3">
      <c r="B135" s="17" t="s">
        <v>196</v>
      </c>
      <c r="C135" s="17">
        <f>ROUND(365/C133*C134, 2)</f>
        <v>15.74</v>
      </c>
      <c r="D135" s="17">
        <f t="shared" ref="D135:G135" si="27">ROUND(365/D133*D134, 2)</f>
        <v>15.99</v>
      </c>
      <c r="E135" s="17">
        <f t="shared" si="27"/>
        <v>11.78</v>
      </c>
      <c r="F135" s="17">
        <f t="shared" si="27"/>
        <v>14.67</v>
      </c>
      <c r="G135" s="17">
        <f t="shared" si="27"/>
        <v>13.76</v>
      </c>
      <c r="I135" s="24"/>
      <c r="J135" s="25"/>
      <c r="K135" s="25"/>
      <c r="L135" s="26"/>
    </row>
    <row r="136" spans="2:12" ht="15.75" thickTop="1" x14ac:dyDescent="0.25"/>
    <row r="137" spans="2:12" ht="18.75" x14ac:dyDescent="0.25">
      <c r="B137" s="14" t="s">
        <v>197</v>
      </c>
      <c r="C137" s="14"/>
      <c r="D137" s="14"/>
      <c r="E137" s="14"/>
      <c r="F137" s="14"/>
      <c r="G137" s="14"/>
    </row>
    <row r="138" spans="2:12" ht="18.75" x14ac:dyDescent="0.25">
      <c r="B138" s="15" t="str">
        <f>'Income Statement'!B5</f>
        <v>Gross Sales</v>
      </c>
      <c r="C138" s="16">
        <f>'Income Statement'!C5</f>
        <v>92011</v>
      </c>
      <c r="D138" s="16">
        <f>'Income Statement'!D5</f>
        <v>90901</v>
      </c>
      <c r="E138" s="16">
        <f>'Income Statement'!E5</f>
        <v>83545</v>
      </c>
      <c r="F138" s="16">
        <f>'Income Statement'!F5</f>
        <v>86863</v>
      </c>
      <c r="G138" s="16">
        <f>'Income Statement'!G5</f>
        <v>131192</v>
      </c>
    </row>
    <row r="139" spans="2:12" ht="18.75" x14ac:dyDescent="0.25">
      <c r="B139" s="15" t="str">
        <f>'Balance Sheet'!B36</f>
        <v>Inventories</v>
      </c>
      <c r="C139" s="16">
        <f>'Balance Sheet'!C36</f>
        <v>11967</v>
      </c>
      <c r="D139" s="16">
        <f>'Balance Sheet'!D36</f>
        <v>13198</v>
      </c>
      <c r="E139" s="16">
        <f>'Balance Sheet'!E36</f>
        <v>11335</v>
      </c>
      <c r="F139" s="16">
        <f>'Balance Sheet'!F36</f>
        <v>9923</v>
      </c>
      <c r="G139" s="16">
        <f>'Balance Sheet'!G36</f>
        <v>14313</v>
      </c>
    </row>
    <row r="140" spans="2:12" ht="18.75" x14ac:dyDescent="0.25">
      <c r="B140" s="15" t="s">
        <v>192</v>
      </c>
      <c r="C140" s="16">
        <f>ROUND(365/C138*C139, 2)</f>
        <v>47.47</v>
      </c>
      <c r="D140" s="16">
        <f t="shared" ref="D140:G140" si="28">ROUND(365/D138*D139, 2)</f>
        <v>52.99</v>
      </c>
      <c r="E140" s="16">
        <f t="shared" si="28"/>
        <v>49.52</v>
      </c>
      <c r="F140" s="16">
        <f t="shared" si="28"/>
        <v>41.7</v>
      </c>
      <c r="G140" s="16">
        <f t="shared" si="28"/>
        <v>39.82</v>
      </c>
    </row>
    <row r="141" spans="2:12" ht="19.5" thickBot="1" x14ac:dyDescent="0.3">
      <c r="B141" s="15" t="str">
        <f>'Income Statement'!B11</f>
        <v>Cost Of Materials Consumed</v>
      </c>
      <c r="C141" s="16">
        <f>'Income Statement'!C11</f>
        <v>31582</v>
      </c>
      <c r="D141" s="16">
        <f>'Income Statement'!D11</f>
        <v>25490</v>
      </c>
      <c r="E141" s="16">
        <f>'Income Statement'!E11</f>
        <v>21261</v>
      </c>
      <c r="F141" s="16">
        <f>'Income Statement'!F11</f>
        <v>22849</v>
      </c>
      <c r="G141" s="16">
        <f>'Income Statement'!G11</f>
        <v>37172</v>
      </c>
    </row>
    <row r="142" spans="2:12" ht="19.5" thickTop="1" x14ac:dyDescent="0.25">
      <c r="B142" s="15" t="str">
        <f>'Balance Sheet'!B19</f>
        <v>Total Current Liabilities</v>
      </c>
      <c r="C142" s="16">
        <f>'Balance Sheet'!C19</f>
        <v>52515</v>
      </c>
      <c r="D142" s="16">
        <f>'Balance Sheet'!D19</f>
        <v>62332</v>
      </c>
      <c r="E142" s="16">
        <f>'Balance Sheet'!E19</f>
        <v>50245</v>
      </c>
      <c r="F142" s="16">
        <f>'Balance Sheet'!F19</f>
        <v>56406</v>
      </c>
      <c r="G142" s="16">
        <f>'Balance Sheet'!G19</f>
        <v>58352</v>
      </c>
      <c r="I142" s="18"/>
      <c r="J142" s="19"/>
      <c r="K142" s="19"/>
      <c r="L142" s="20"/>
    </row>
    <row r="143" spans="2:12" ht="18.75" x14ac:dyDescent="0.25">
      <c r="B143" s="15" t="s">
        <v>194</v>
      </c>
      <c r="C143" s="16">
        <f>ROUND(365/C141*C142, 2)</f>
        <v>606.92999999999995</v>
      </c>
      <c r="D143" s="16">
        <f t="shared" ref="D143:G143" si="29">ROUND(365/D141*D142, 2)</f>
        <v>892.55</v>
      </c>
      <c r="E143" s="16">
        <f t="shared" si="29"/>
        <v>862.59</v>
      </c>
      <c r="F143" s="16">
        <f t="shared" si="29"/>
        <v>901.05</v>
      </c>
      <c r="G143" s="16">
        <f t="shared" si="29"/>
        <v>572.97</v>
      </c>
      <c r="I143" s="21"/>
      <c r="J143" s="22"/>
      <c r="K143" s="22"/>
      <c r="L143" s="23"/>
    </row>
    <row r="144" spans="2:12" ht="19.5" thickBot="1" x14ac:dyDescent="0.3">
      <c r="B144" s="17" t="s">
        <v>198</v>
      </c>
      <c r="C144" s="28">
        <f>ROUND(C143+C140, 2)</f>
        <v>654.4</v>
      </c>
      <c r="D144" s="28">
        <f t="shared" ref="D144:G144" si="30">ROUND(D143+D140, 2)</f>
        <v>945.54</v>
      </c>
      <c r="E144" s="28">
        <f t="shared" si="30"/>
        <v>912.11</v>
      </c>
      <c r="F144" s="28">
        <f t="shared" si="30"/>
        <v>942.75</v>
      </c>
      <c r="G144" s="28">
        <f t="shared" si="30"/>
        <v>612.79</v>
      </c>
      <c r="I144" s="24"/>
      <c r="J144" s="25"/>
      <c r="K144" s="25"/>
      <c r="L144" s="26"/>
    </row>
    <row r="145" spans="2:12" ht="15.75" thickTop="1" x14ac:dyDescent="0.25"/>
    <row r="146" spans="2:12" ht="18.75" x14ac:dyDescent="0.25">
      <c r="B146" s="14" t="s">
        <v>199</v>
      </c>
      <c r="C146" s="14"/>
      <c r="D146" s="14"/>
      <c r="E146" s="14"/>
      <c r="F146" s="14"/>
      <c r="G146" s="14"/>
    </row>
    <row r="147" spans="2:12" ht="18.75" x14ac:dyDescent="0.25">
      <c r="B147" s="15" t="str">
        <f>'Income Statement'!B5</f>
        <v>Gross Sales</v>
      </c>
      <c r="C147" s="16">
        <f>'Income Statement'!C5</f>
        <v>92011</v>
      </c>
      <c r="D147" s="16">
        <f>'Income Statement'!D5</f>
        <v>90901</v>
      </c>
      <c r="E147" s="16">
        <f>'Income Statement'!E5</f>
        <v>83545</v>
      </c>
      <c r="F147" s="16">
        <f>'Income Statement'!F5</f>
        <v>86863</v>
      </c>
      <c r="G147" s="16">
        <f>'Income Statement'!G5</f>
        <v>131192</v>
      </c>
    </row>
    <row r="148" spans="2:12" ht="18.75" x14ac:dyDescent="0.25">
      <c r="B148" s="15" t="str">
        <f>'Balance Sheet'!B36</f>
        <v>Inventories</v>
      </c>
      <c r="C148" s="16">
        <f>'Balance Sheet'!C36</f>
        <v>11967</v>
      </c>
      <c r="D148" s="16">
        <f>'Balance Sheet'!D36</f>
        <v>13198</v>
      </c>
      <c r="E148" s="16">
        <f>'Balance Sheet'!E36</f>
        <v>11335</v>
      </c>
      <c r="F148" s="16">
        <f>'Balance Sheet'!F36</f>
        <v>9923</v>
      </c>
      <c r="G148" s="16">
        <f>'Balance Sheet'!G36</f>
        <v>14313</v>
      </c>
    </row>
    <row r="149" spans="2:12" ht="18.75" x14ac:dyDescent="0.25">
      <c r="B149" s="15" t="s">
        <v>192</v>
      </c>
      <c r="C149" s="16">
        <f>ROUND(365/C147*C148, 2)</f>
        <v>47.47</v>
      </c>
      <c r="D149" s="16">
        <f t="shared" ref="D149:G149" si="31">ROUND(365/D147*D148, 2)</f>
        <v>52.99</v>
      </c>
      <c r="E149" s="16">
        <f t="shared" si="31"/>
        <v>49.52</v>
      </c>
      <c r="F149" s="16">
        <f t="shared" si="31"/>
        <v>41.7</v>
      </c>
      <c r="G149" s="16">
        <f t="shared" si="31"/>
        <v>39.82</v>
      </c>
    </row>
    <row r="150" spans="2:12" ht="18.75" x14ac:dyDescent="0.25">
      <c r="B150" s="15" t="str">
        <f>'Income Statement'!B11</f>
        <v>Cost Of Materials Consumed</v>
      </c>
      <c r="C150" s="16">
        <f>'Income Statement'!C11</f>
        <v>31582</v>
      </c>
      <c r="D150" s="16">
        <f>'Income Statement'!D11</f>
        <v>25490</v>
      </c>
      <c r="E150" s="16">
        <f>'Income Statement'!E11</f>
        <v>21261</v>
      </c>
      <c r="F150" s="16">
        <f>'Income Statement'!F11</f>
        <v>22849</v>
      </c>
      <c r="G150" s="16">
        <f>'Income Statement'!G11</f>
        <v>37172</v>
      </c>
    </row>
    <row r="151" spans="2:12" ht="18.75" x14ac:dyDescent="0.25">
      <c r="B151" s="15" t="str">
        <f>'Balance Sheet'!B19</f>
        <v>Total Current Liabilities</v>
      </c>
      <c r="C151" s="16">
        <f>'Balance Sheet'!C19</f>
        <v>52515</v>
      </c>
      <c r="D151" s="16">
        <f>'Balance Sheet'!D19</f>
        <v>62332</v>
      </c>
      <c r="E151" s="16">
        <f>'Balance Sheet'!E19</f>
        <v>50245</v>
      </c>
      <c r="F151" s="16">
        <f>'Balance Sheet'!F19</f>
        <v>56406</v>
      </c>
      <c r="G151" s="16">
        <f>'Balance Sheet'!G19</f>
        <v>58352</v>
      </c>
    </row>
    <row r="152" spans="2:12" ht="18.75" x14ac:dyDescent="0.25">
      <c r="B152" s="15" t="s">
        <v>194</v>
      </c>
      <c r="C152" s="16">
        <f>ROUND(365/C150*C151, 2)</f>
        <v>606.92999999999995</v>
      </c>
      <c r="D152" s="16">
        <f t="shared" ref="D152:G152" si="32">ROUND(365/D150*D151, 2)</f>
        <v>892.55</v>
      </c>
      <c r="E152" s="16">
        <f t="shared" si="32"/>
        <v>862.59</v>
      </c>
      <c r="F152" s="16">
        <f t="shared" si="32"/>
        <v>901.05</v>
      </c>
      <c r="G152" s="16">
        <f t="shared" si="32"/>
        <v>572.97</v>
      </c>
    </row>
    <row r="153" spans="2:12" ht="18.75" x14ac:dyDescent="0.25">
      <c r="B153" s="15" t="s">
        <v>200</v>
      </c>
      <c r="C153" s="16">
        <f>ROUND(C152+C149, 2)</f>
        <v>654.4</v>
      </c>
      <c r="D153" s="16">
        <f t="shared" ref="D153:G153" si="33">ROUND(D152+D149, 2)</f>
        <v>945.54</v>
      </c>
      <c r="E153" s="16">
        <f t="shared" si="33"/>
        <v>912.11</v>
      </c>
      <c r="F153" s="16">
        <f t="shared" si="33"/>
        <v>942.75</v>
      </c>
      <c r="G153" s="16">
        <f t="shared" si="33"/>
        <v>612.79</v>
      </c>
    </row>
    <row r="154" spans="2:12" ht="19.5" thickBot="1" x14ac:dyDescent="0.3">
      <c r="B154" s="15" t="str">
        <f>'Income Statement'!B11</f>
        <v>Cost Of Materials Consumed</v>
      </c>
      <c r="C154" s="16">
        <f>'Income Statement'!C11</f>
        <v>31582</v>
      </c>
      <c r="D154" s="16">
        <f>'Income Statement'!D11</f>
        <v>25490</v>
      </c>
      <c r="E154" s="16">
        <f>'Income Statement'!E11</f>
        <v>21261</v>
      </c>
      <c r="F154" s="16">
        <f>'Income Statement'!F11</f>
        <v>22849</v>
      </c>
      <c r="G154" s="16">
        <f>'Income Statement'!G11</f>
        <v>37172</v>
      </c>
    </row>
    <row r="155" spans="2:12" ht="19.5" thickTop="1" x14ac:dyDescent="0.25">
      <c r="B155" s="15" t="str">
        <f>'Balance Sheet'!B19</f>
        <v>Total Current Liabilities</v>
      </c>
      <c r="C155" s="16">
        <f>'Balance Sheet'!C19</f>
        <v>52515</v>
      </c>
      <c r="D155" s="16">
        <f>'Balance Sheet'!D19</f>
        <v>62332</v>
      </c>
      <c r="E155" s="16">
        <f>'Balance Sheet'!E19</f>
        <v>50245</v>
      </c>
      <c r="F155" s="16">
        <f>'Balance Sheet'!F19</f>
        <v>56406</v>
      </c>
      <c r="G155" s="16">
        <f>'Balance Sheet'!G19</f>
        <v>58352</v>
      </c>
      <c r="I155" s="18"/>
      <c r="J155" s="19"/>
      <c r="K155" s="19"/>
      <c r="L155" s="20"/>
    </row>
    <row r="156" spans="2:12" ht="18.75" x14ac:dyDescent="0.25">
      <c r="B156" s="15" t="s">
        <v>194</v>
      </c>
      <c r="C156" s="16">
        <f>ROUND(365/C154*C155, 2)</f>
        <v>606.92999999999995</v>
      </c>
      <c r="D156" s="16">
        <f t="shared" ref="D156:G156" si="34">ROUND(365/D154*D155, 2)</f>
        <v>892.55</v>
      </c>
      <c r="E156" s="16">
        <f t="shared" si="34"/>
        <v>862.59</v>
      </c>
      <c r="F156" s="16">
        <f t="shared" si="34"/>
        <v>901.05</v>
      </c>
      <c r="G156" s="16">
        <f t="shared" si="34"/>
        <v>572.97</v>
      </c>
      <c r="I156" s="21"/>
      <c r="J156" s="22"/>
      <c r="K156" s="22"/>
      <c r="L156" s="23"/>
    </row>
    <row r="157" spans="2:12" ht="19.5" thickBot="1" x14ac:dyDescent="0.3">
      <c r="B157" s="17" t="s">
        <v>201</v>
      </c>
      <c r="C157" s="28">
        <f>ROUND(C156-C153, 2)</f>
        <v>-47.47</v>
      </c>
      <c r="D157" s="28">
        <f t="shared" ref="D157:G157" si="35">ROUND(D156-D153, 2)</f>
        <v>-52.99</v>
      </c>
      <c r="E157" s="28">
        <f t="shared" si="35"/>
        <v>-49.52</v>
      </c>
      <c r="F157" s="28">
        <f t="shared" si="35"/>
        <v>-41.7</v>
      </c>
      <c r="G157" s="28">
        <f t="shared" si="35"/>
        <v>-39.82</v>
      </c>
      <c r="I157" s="24"/>
      <c r="J157" s="25"/>
      <c r="K157" s="25"/>
      <c r="L157" s="26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5F0430B7-C728-4841-8A6E-04402A4E673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F400657A-01FA-4D93-9695-A0008DED32A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AC4A3643-1D52-4EF8-A8F0-1F0C55C7861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3103D4E2-5D6F-4B10-8CA5-97C7EF8395C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D471D031-F02B-424A-9896-D9092916422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73425BC5-375A-465B-AA02-A45C25E5A30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958CCED0-1E11-40CF-B90E-05AA4489D55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194AEC67-3270-4430-89C1-2229D342895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64C0B3ED-59F9-4D79-8381-776CFF7DB36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9B1D5D5B-A97B-41D9-B109-21D7A9E93EC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9E584031-BBF7-4C0E-AB49-5697BCD51C0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5FD4DCE8-BC1B-4D49-96EC-0EC870C05E7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E57142CB-C0C8-4639-A4FA-60D4EC7BE5B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72CA6F58-412A-44AF-8FD3-B69FB35E962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FEC55763-9EDB-4B67-B976-F61994584C1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C9CE3A4B-13B7-4D52-ABD3-4C64F99A707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5086AFDB-D140-432D-BD05-9DBF978B228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D92FC33D-8104-46FB-8FCB-2967820553B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ED45B06D-5CF6-4D22-90CF-A92EF29B4E7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8C2E7B09-37B0-415F-AD60-A100F58DD36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7C98CF77-EA8C-4D28-A19F-47EAE1E8B2D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16283E8E-E087-4404-863B-33228472F4C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0427A396-603D-45DE-BF38-A4B3FEC07B1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CFF85CC4-E5A9-4C8D-8A9E-47414EB7EF6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7F0B4791-DF2A-49D3-B433-AB10240B6B8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47C1FA85-BEC8-4BD6-9F6B-86710C5DB8D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C5D5D835-D44D-4B17-86CF-416F2D2F8F6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37BFB0-CC0E-43C8-A8CB-F3234893A26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3.140625" bestFit="1" customWidth="1"/>
    <col min="4" max="4" width="11.5703125" bestFit="1" customWidth="1"/>
    <col min="5" max="5" width="12.5703125" bestFit="1" customWidth="1"/>
    <col min="6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145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13450</v>
      </c>
      <c r="D6" s="16">
        <f>'Income Statement'!D27</f>
        <v>9211</v>
      </c>
      <c r="E6" s="16">
        <f>'Income Statement'!E27</f>
        <v>-4403</v>
      </c>
      <c r="F6" s="16">
        <f>'Income Statement'!F27</f>
        <v>14708</v>
      </c>
      <c r="G6" s="16">
        <f>'Income Statement'!G27</f>
        <v>20253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480.35714285714283</v>
      </c>
      <c r="D7" s="16">
        <f>'Income Statement'!D35</f>
        <v>484.78947368421052</v>
      </c>
      <c r="E7" s="16">
        <f>'Income Statement'!E35</f>
        <v>244.61111111111111</v>
      </c>
      <c r="F7" s="16">
        <f>'Income Statement'!F35</f>
        <v>474.45161290322579</v>
      </c>
      <c r="G7" s="16">
        <f>'Income Statement'!G35</f>
        <v>397.11764705882354</v>
      </c>
    </row>
    <row r="8" spans="2:7" ht="18.75" x14ac:dyDescent="0.25">
      <c r="B8" s="17" t="s">
        <v>146</v>
      </c>
      <c r="C8" s="17">
        <f>ROUND(C6/C7, 2)</f>
        <v>28</v>
      </c>
      <c r="D8" s="17">
        <f t="shared" ref="D8:G8" si="0">ROUND(D6/D7, 2)</f>
        <v>19</v>
      </c>
      <c r="E8" s="17">
        <f t="shared" si="0"/>
        <v>-18</v>
      </c>
      <c r="F8" s="17">
        <f t="shared" si="0"/>
        <v>31</v>
      </c>
      <c r="G8" s="17">
        <f t="shared" si="0"/>
        <v>51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1C723-9645-467E-B99F-6FFFE5DE850B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1.5703125" bestFit="1" customWidth="1"/>
    <col min="7" max="7" width="10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147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9462</v>
      </c>
      <c r="D6" s="16">
        <f>'Income Statement'!D28</f>
        <v>8411</v>
      </c>
      <c r="E6" s="16">
        <f>'Income Statement'!E28</f>
        <v>1696</v>
      </c>
      <c r="F6" s="16">
        <f>'Income Statement'!F28</f>
        <v>3519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480.35714285714283</v>
      </c>
      <c r="D7" s="16">
        <f>'Income Statement'!D35</f>
        <v>484.78947368421052</v>
      </c>
      <c r="E7" s="16">
        <f>'Income Statement'!E35</f>
        <v>244.61111111111111</v>
      </c>
      <c r="F7" s="16">
        <f>'Income Statement'!F35</f>
        <v>474.45161290322579</v>
      </c>
      <c r="G7" s="16">
        <f>'Income Statement'!G35</f>
        <v>397.11764705882354</v>
      </c>
    </row>
    <row r="8" spans="2:7" ht="18.75" x14ac:dyDescent="0.25">
      <c r="B8" s="17" t="s">
        <v>148</v>
      </c>
      <c r="C8" s="17">
        <f>ROUND(C6/C7, 2)</f>
        <v>19.7</v>
      </c>
      <c r="D8" s="17">
        <f t="shared" ref="D8:G8" si="0">ROUND(D6/D7, 2)</f>
        <v>17.350000000000001</v>
      </c>
      <c r="E8" s="17">
        <f t="shared" si="0"/>
        <v>6.93</v>
      </c>
      <c r="F8" s="17">
        <f t="shared" si="0"/>
        <v>7.42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AF276-CDAF-4257-968A-6EC9EB90A82C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149</v>
      </c>
      <c r="C5" s="14"/>
      <c r="D5" s="14"/>
      <c r="E5" s="14"/>
      <c r="F5" s="14"/>
      <c r="G5" s="14"/>
    </row>
    <row r="6" spans="2:7" ht="18.75" x14ac:dyDescent="0.25">
      <c r="B6" s="15" t="str">
        <f>'Balance Sheet'!B9</f>
        <v>Net Worth</v>
      </c>
      <c r="C6" s="16">
        <f>'Balance Sheet'!C9</f>
        <v>63508</v>
      </c>
      <c r="D6" s="16">
        <f>'Balance Sheet'!D9</f>
        <v>64308</v>
      </c>
      <c r="E6" s="16">
        <f>'Balance Sheet'!E9</f>
        <v>58209</v>
      </c>
      <c r="F6" s="16">
        <f>'Balance Sheet'!F9</f>
        <v>69398</v>
      </c>
      <c r="G6" s="16">
        <f>'Balance Sheet'!G9</f>
        <v>89651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480.35714285714283</v>
      </c>
      <c r="D7" s="16">
        <f>'Income Statement'!D35</f>
        <v>484.78947368421052</v>
      </c>
      <c r="E7" s="16">
        <f>'Income Statement'!E35</f>
        <v>244.61111111111111</v>
      </c>
      <c r="F7" s="16">
        <f>'Income Statement'!F35</f>
        <v>474.45161290322579</v>
      </c>
      <c r="G7" s="16">
        <f>'Income Statement'!G35</f>
        <v>397.11764705882354</v>
      </c>
    </row>
    <row r="8" spans="2:7" ht="18.75" x14ac:dyDescent="0.25">
      <c r="B8" s="17" t="s">
        <v>150</v>
      </c>
      <c r="C8" s="17">
        <f>ROUND(C6/C7, 2)</f>
        <v>132.21</v>
      </c>
      <c r="D8" s="17">
        <f t="shared" ref="D8:G8" si="0">ROUND(D6/D7, 2)</f>
        <v>132.65</v>
      </c>
      <c r="E8" s="17">
        <f t="shared" si="0"/>
        <v>237.97</v>
      </c>
      <c r="F8" s="17">
        <f t="shared" si="0"/>
        <v>146.27000000000001</v>
      </c>
      <c r="G8" s="17">
        <f t="shared" si="0"/>
        <v>225.75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2022-07-03T10:43:02Z</dcterms:created>
  <dcterms:modified xsi:type="dcterms:W3CDTF">2022-07-04T07:15:16Z</dcterms:modified>
</cp:coreProperties>
</file>