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266AC533-F8C5-493C-8D54-2BB8B83DD170}" xr6:coauthVersionLast="47" xr6:coauthVersionMax="47" xr10:uidLastSave="{00000000-0000-0000-0000-000000000000}"/>
  <bookViews>
    <workbookView xWindow="-120" yWindow="-120" windowWidth="20730" windowHeight="11160" firstSheet="42" activeTab="44" xr2:uid="{90E7A4D7-1374-4BA6-BAFF-6F122C068FAC}"/>
  </bookViews>
  <sheets>
    <sheet name="BSInput" sheetId="1" r:id="rId1"/>
    <sheet name="ISMInput" sheetId="2" r:id="rId2"/>
    <sheet name="Income Statement" sheetId="3" r:id="rId3"/>
    <sheet name="Balance Sheet" sheetId="4" r:id="rId4"/>
    <sheet name="CashFlow Statement" sheetId="5" r:id="rId5"/>
    <sheet name="Ratios" sheetId="6" r:id="rId6"/>
    <sheet name="Earning  Per Share" sheetId="7" r:id="rId7"/>
    <sheet name="Equity Dividend Per Share" sheetId="8" r:id="rId8"/>
    <sheet name="Book Value  Per Share" sheetId="9" r:id="rId9"/>
    <sheet name="Dividend Pay Out Ratio" sheetId="10" r:id="rId10"/>
    <sheet name="Dividend Retention Ratio" sheetId="11" r:id="rId11"/>
    <sheet name="Gross Profit" sheetId="12" r:id="rId12"/>
    <sheet name="Net Profit" sheetId="13" r:id="rId13"/>
    <sheet name="Return On Assets" sheetId="14" r:id="rId14"/>
    <sheet name="Return On Capital Employeed" sheetId="15" r:id="rId15"/>
    <sheet name="Return On Equity" sheetId="16" r:id="rId16"/>
    <sheet name="Debt Equity Ratio" sheetId="17" r:id="rId17"/>
    <sheet name="Current Ratio" sheetId="18" r:id="rId18"/>
    <sheet name="Quick Ratio" sheetId="19" r:id="rId19"/>
    <sheet name="Interest Coverage Ratio" sheetId="20" r:id="rId20"/>
    <sheet name="Material Consumed" sheetId="21" r:id="rId21"/>
    <sheet name="Defensive Interval Ratio" sheetId="22" r:id="rId22"/>
    <sheet name="Purchases Per Day" sheetId="23" r:id="rId23"/>
    <sheet name="Asset TurnOver Ratio" sheetId="24" r:id="rId24"/>
    <sheet name="Inventory TurnOver Ratio" sheetId="25" r:id="rId25"/>
    <sheet name="Debtors TurnOver Ratio" sheetId="26" r:id="rId26"/>
    <sheet name="Fixed Assets TurnOver Ratio" sheetId="27" r:id="rId27"/>
    <sheet name="Payable TurnOver Ratio" sheetId="28" r:id="rId28"/>
    <sheet name="Inventory Days" sheetId="29" r:id="rId29"/>
    <sheet name="Payable Days" sheetId="30" r:id="rId30"/>
    <sheet name="Receivable Days" sheetId="31" r:id="rId31"/>
    <sheet name="Operating Cycle" sheetId="32" r:id="rId32"/>
    <sheet name="Cash Conversion Cycle Days" sheetId="33" r:id="rId33"/>
    <sheet name="NetWorthVsTotalLiabilties" sheetId="34" r:id="rId34"/>
    <sheet name="PBDITvsPBIT" sheetId="35" r:id="rId35"/>
    <sheet name="CAvsCL" sheetId="36" r:id="rId36"/>
    <sheet name="Long And Short Term Provisions" sheetId="37" r:id="rId37"/>
    <sheet name="MaterialConsumed_DirectExpenses" sheetId="38" r:id="rId38"/>
    <sheet name="Gross Sales In Total Income" sheetId="39" r:id="rId39"/>
    <sheet name="Total_Debt_In_Liabilities" sheetId="40" r:id="rId40"/>
    <sheet name="Total_CL_In_Liabilities" sheetId="41" r:id="rId41"/>
    <sheet name="Total_NCA_In_Assets" sheetId="42" r:id="rId42"/>
    <sheet name="Total_CA_In_Assets" sheetId="43" r:id="rId43"/>
    <sheet name="TotalExpenditureVsTotalIncome" sheetId="44" r:id="rId44"/>
    <sheet name="Net Profit CF To Balance Sheet" sheetId="45" r:id="rId45"/>
  </sheets>
  <definedNames>
    <definedName name="AmountCFtoBalanceSheet">'Income Statement'!$B$30:$G$30</definedName>
    <definedName name="AssetTurnOverRatio">'Asset TurnOver Ratio'!$B$8:$G$8</definedName>
    <definedName name="BookValuePerShare">'Book Value  Per Share'!$B$8:$G$8</definedName>
    <definedName name="CapitalWorkInProgress">'Balance Sheet'!$B$29:$G$29</definedName>
    <definedName name="CashAndCashEquivalents">'Balance Sheet'!$B$38:$G$38</definedName>
    <definedName name="CashCFtoBalanceSheet">'CashFlow Statement'!$B$48:$G$48</definedName>
    <definedName name="CostOfMaterialsConsumed">'Income Statement'!$B$11:$G$11</definedName>
    <definedName name="CurrentInvestments">'Balance Sheet'!$B$28:$G$28</definedName>
    <definedName name="CurrentRatio">'Current Ratio'!$B$8:$G$8</definedName>
    <definedName name="DebtEquityRatio">'Debt Equity Ratio'!$B$8:$G$8</definedName>
    <definedName name="DebtorsTurnOverRatio">'Debtors TurnOver Ratio'!$B$8:$G$8</definedName>
    <definedName name="DefensiveIntervalRatio">'Defensive Interval Ratio'!$B$8:$G$8</definedName>
    <definedName name="DeferredTaxAssetsNet">'Balance Sheet'!$B$31:$G$31</definedName>
    <definedName name="DeferredTaxLiabilitiesNet">'Balance Sheet'!$B$11:$G$11</definedName>
    <definedName name="Depreciation">'Balance Sheet'!$B$25:$G$25</definedName>
    <definedName name="DepreciationAndAmortisationExpenses">'Income Statement'!$B$18:$G$18</definedName>
    <definedName name="EarningPerShare">'Earning  Per Share'!$B$8:$G$8</definedName>
    <definedName name="EmployeeBenefitExpenses">'Income Statement'!$B$13:$G$13</definedName>
    <definedName name="EquityDividendPerShare">'Equity Dividend Per Share'!$B$8:$G$8</definedName>
    <definedName name="EquityShareCapital">'Balance Sheet'!$B$5:$G$5</definedName>
    <definedName name="EquityShareDividend">'Income Statement'!$B$28:$G$28</definedName>
    <definedName name="ExceptionalItems">'Income Statement'!$B$24:$G$24</definedName>
    <definedName name="ExciseDuty">'Income Statement'!$B$6:$G$6</definedName>
    <definedName name="FinanceCosts">'Income Statement'!$B$20:$G$20</definedName>
    <definedName name="GrossProfit">'Gross Profit'!$B$8:$G$8</definedName>
    <definedName name="GrossSales">'Income Statement'!$B$5:$G$5</definedName>
    <definedName name="IntangibleAssets">'Balance Sheet'!$B$24:$G$24</definedName>
    <definedName name="InterestCoverageRatio">'Interest Coverage Ratio'!$B$8:$G$8</definedName>
    <definedName name="Inventories">'Balance Sheet'!$B$36:$G$36</definedName>
    <definedName name="InventoryTurnOverRatio">'Inventory TurnOver Ratio'!$B$8:$G$8</definedName>
    <definedName name="LongTermBorrowings">'Balance Sheet'!$B$10:$G$10</definedName>
    <definedName name="LongTermLoansAndAdvances">'Balance Sheet'!$B$32:$G$32</definedName>
    <definedName name="LongTermProvisions">'Balance Sheet'!$B$14:$G$14</definedName>
    <definedName name="MaterialConsumed">'Material Consumed'!$B$8:$G$8</definedName>
    <definedName name="MinorityInterest">'Balance Sheet'!$B$20:$G$20</definedName>
    <definedName name="NetAssets">'Balance Sheet'!$B$26:$G$26</definedName>
    <definedName name="NetProfit">'Net Profit'!$B$8:$G$8</definedName>
    <definedName name="NetSales">'Income Statement'!$B$7:$G$7</definedName>
    <definedName name="NetWorth">'Balance Sheet'!$B$9:$G$9</definedName>
    <definedName name="NonCurrentInvestments">'Balance Sheet'!$B$27:$G$27</definedName>
    <definedName name="OperatingAndDirectExpenses">'Income Statement'!$B$12:$G$12</definedName>
    <definedName name="OperatingProfit">'Income Statement'!$B$16:$G$16</definedName>
    <definedName name="OtherCurrentAssets">'Balance Sheet'!$B$35:$G$35</definedName>
    <definedName name="OtherCurrentLiabilities">'Balance Sheet'!$B$18:$G$18</definedName>
    <definedName name="OtherExpenses">'Income Statement'!$B$14:$G$14</definedName>
    <definedName name="OtherIncome">'Income Statement'!$B$8:$G$8</definedName>
    <definedName name="OtherLongTermLiabilities">'Balance Sheet'!$B$16:$G$16</definedName>
    <definedName name="OtherNonCurrentAssets">'Balance Sheet'!$B$33:$G$33</definedName>
    <definedName name="PBDIT">'Income Statement'!$B$17:$G$17</definedName>
    <definedName name="PBIT">'Income Statement'!$B$19:$G$19</definedName>
    <definedName name="PBT">'Income Statement'!$B$23:$G$23</definedName>
    <definedName name="PBTPostExtraOrdinaryItems">'Income Statement'!$B$25:$G$25</definedName>
    <definedName name="PreferenceShareCapital">'Balance Sheet'!$B$6:$G$6</definedName>
    <definedName name="ProfitBeforeshareofAssociates">'Income Statement'!$B$21:$G$21</definedName>
    <definedName name="QuickRatio">'Quick Ratio'!$B$9:$G$9</definedName>
    <definedName name="ReportedNetProfitPAT">'Income Statement'!$B$27:$G$27</definedName>
    <definedName name="ReservesandSurplus">'Balance Sheet'!$B$8:$G$8</definedName>
    <definedName name="ReturnOnAssets">'Return On Assets'!$B$8:$G$8</definedName>
    <definedName name="ReturnOnCapitalEmployeed">'Return On Capital Employeed'!$B$9:$G$9</definedName>
    <definedName name="ReturnOnEquity">'Return On Equity'!$B$8:$G$8</definedName>
    <definedName name="ShareOfProfitLossOfAssociates">'Income Statement'!$B$22:$G$22</definedName>
    <definedName name="SharesOutstanding">'Income Statement'!$B$35:$G$35</definedName>
    <definedName name="ShortTermBorrowings">'Balance Sheet'!$B$12:$G$12</definedName>
    <definedName name="ShortTermLoansAndAdvances">'Balance Sheet'!$B$34:$G$34</definedName>
    <definedName name="ShortTermProvisions">'Balance Sheet'!$B$15:$G$15</definedName>
    <definedName name="StockAdjustments">'Income Statement'!$B$9:$G$9</definedName>
    <definedName name="TangibleAssets">'Balance Sheet'!$B$23:$G$23</definedName>
    <definedName name="TaxOnDividend">'Income Statement'!$B$29:$G$29</definedName>
    <definedName name="TotalAssets">'Balance Sheet'!$B$40:$G$40</definedName>
    <definedName name="TotalCashFlowfromInvestmentActivities">'CashFlow Statement'!$B$35:$G$35</definedName>
    <definedName name="TotalCashFromFinancingActivities">'CashFlow Statement'!$B$47:$G$47</definedName>
    <definedName name="TotalCashfromOperatingActivities">'CashFlow Statement'!$B$27:$G$27</definedName>
    <definedName name="TotalCurrentAssets">'Balance Sheet'!$B$39:$G$39</definedName>
    <definedName name="TotalCurrentLiabilities">'Balance Sheet'!$B$19:$G$19</definedName>
    <definedName name="TotalDebt">'Balance Sheet'!$B$13:$G$13</definedName>
    <definedName name="TotalExpenditure">'Income Statement'!$B$15:$G$15</definedName>
    <definedName name="TotalIncome">'Income Statement'!$B$10:$G$10</definedName>
    <definedName name="TotalLiabilities">'Balance Sheet'!$B$21:$G$21</definedName>
    <definedName name="TotalNonCashNonOperatingTransactions">'CashFlow Statement'!$B$10:$G$10</definedName>
    <definedName name="TotalNonCurrentAssets">'Balance Sheet'!$B$30:$G$30</definedName>
    <definedName name="TotalShareCapital">'Balance Sheet'!$B$7:$G$7</definedName>
    <definedName name="TotalTaxExpenses">'Income Statement'!$B$26:$G$26</definedName>
    <definedName name="TradePayables">'Balance Sheet'!$B$17:$G$17</definedName>
    <definedName name="TradeReceivables">'Balance Sheet'!$B$37:$G$37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45" l="1"/>
  <c r="D5" i="45"/>
  <c r="E5" i="45"/>
  <c r="F5" i="45"/>
  <c r="G5" i="45"/>
  <c r="C6" i="45"/>
  <c r="D6" i="45"/>
  <c r="E6" i="45"/>
  <c r="F6" i="45"/>
  <c r="G6" i="45"/>
  <c r="B6" i="45"/>
  <c r="B5" i="45"/>
  <c r="D4" i="45"/>
  <c r="E4" i="45"/>
  <c r="F4" i="45"/>
  <c r="G4" i="45"/>
  <c r="C4" i="45"/>
  <c r="C5" i="44"/>
  <c r="D5" i="44"/>
  <c r="E5" i="44"/>
  <c r="F5" i="44"/>
  <c r="G5" i="44"/>
  <c r="C6" i="44"/>
  <c r="D6" i="44"/>
  <c r="E6" i="44"/>
  <c r="F6" i="44"/>
  <c r="G6" i="44"/>
  <c r="B6" i="44"/>
  <c r="B5" i="44"/>
  <c r="D4" i="44"/>
  <c r="E4" i="44"/>
  <c r="F4" i="44"/>
  <c r="G4" i="44"/>
  <c r="C4" i="44"/>
  <c r="C5" i="43"/>
  <c r="D5" i="43"/>
  <c r="E5" i="43"/>
  <c r="F5" i="43"/>
  <c r="G5" i="43"/>
  <c r="C6" i="43"/>
  <c r="D6" i="43"/>
  <c r="E6" i="43"/>
  <c r="F6" i="43"/>
  <c r="G6" i="43"/>
  <c r="B6" i="43"/>
  <c r="B5" i="43"/>
  <c r="D4" i="43"/>
  <c r="E4" i="43"/>
  <c r="F4" i="43"/>
  <c r="G4" i="43"/>
  <c r="C4" i="43"/>
  <c r="C5" i="42"/>
  <c r="D5" i="42"/>
  <c r="E5" i="42"/>
  <c r="F5" i="42"/>
  <c r="G5" i="42"/>
  <c r="C6" i="42"/>
  <c r="D6" i="42"/>
  <c r="E6" i="42"/>
  <c r="F6" i="42"/>
  <c r="G6" i="42"/>
  <c r="B6" i="42"/>
  <c r="B5" i="42"/>
  <c r="D4" i="42"/>
  <c r="E4" i="42"/>
  <c r="F4" i="42"/>
  <c r="G4" i="42"/>
  <c r="C4" i="42"/>
  <c r="C5" i="41"/>
  <c r="D5" i="41"/>
  <c r="E5" i="41"/>
  <c r="F5" i="41"/>
  <c r="G5" i="41"/>
  <c r="C6" i="41"/>
  <c r="D6" i="41"/>
  <c r="E6" i="41"/>
  <c r="F6" i="41"/>
  <c r="G6" i="41"/>
  <c r="B6" i="41"/>
  <c r="B5" i="41"/>
  <c r="D4" i="41"/>
  <c r="E4" i="41"/>
  <c r="F4" i="41"/>
  <c r="G4" i="41"/>
  <c r="C4" i="41"/>
  <c r="C5" i="40"/>
  <c r="D5" i="40"/>
  <c r="E5" i="40"/>
  <c r="F5" i="40"/>
  <c r="G5" i="40"/>
  <c r="C6" i="40"/>
  <c r="D6" i="40"/>
  <c r="E6" i="40"/>
  <c r="F6" i="40"/>
  <c r="G6" i="40"/>
  <c r="B6" i="40"/>
  <c r="B5" i="40"/>
  <c r="D4" i="40"/>
  <c r="E4" i="40"/>
  <c r="F4" i="40"/>
  <c r="G4" i="40"/>
  <c r="C4" i="40"/>
  <c r="C5" i="39"/>
  <c r="D5" i="39"/>
  <c r="E5" i="39"/>
  <c r="F5" i="39"/>
  <c r="G5" i="39"/>
  <c r="C6" i="39"/>
  <c r="D6" i="39"/>
  <c r="E6" i="39"/>
  <c r="F6" i="39"/>
  <c r="G6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C5" i="36"/>
  <c r="D5" i="36"/>
  <c r="E5" i="36"/>
  <c r="F5" i="36"/>
  <c r="G5" i="36"/>
  <c r="C6" i="36"/>
  <c r="D6" i="36"/>
  <c r="E6" i="36"/>
  <c r="F6" i="36"/>
  <c r="G6" i="36"/>
  <c r="B6" i="36"/>
  <c r="B5" i="36"/>
  <c r="D4" i="36"/>
  <c r="E4" i="36"/>
  <c r="F4" i="36"/>
  <c r="G4" i="36"/>
  <c r="C4" i="36"/>
  <c r="C5" i="35"/>
  <c r="D5" i="35"/>
  <c r="E5" i="35"/>
  <c r="F5" i="35"/>
  <c r="G5" i="35"/>
  <c r="C6" i="35"/>
  <c r="D6" i="35"/>
  <c r="E6" i="35"/>
  <c r="F6" i="35"/>
  <c r="G6" i="35"/>
  <c r="B6" i="35"/>
  <c r="B5" i="35"/>
  <c r="D4" i="35"/>
  <c r="E4" i="35"/>
  <c r="F4" i="35"/>
  <c r="G4" i="35"/>
  <c r="C4" i="35"/>
  <c r="C5" i="34"/>
  <c r="D5" i="34"/>
  <c r="E5" i="34"/>
  <c r="F5" i="34"/>
  <c r="G5" i="34"/>
  <c r="C6" i="34"/>
  <c r="D6" i="34"/>
  <c r="E6" i="34"/>
  <c r="F6" i="34"/>
  <c r="G6" i="34"/>
  <c r="B6" i="34"/>
  <c r="B5" i="34"/>
  <c r="D4" i="34"/>
  <c r="E4" i="34"/>
  <c r="F4" i="34"/>
  <c r="G4" i="34"/>
  <c r="C4" i="34"/>
  <c r="D16" i="33"/>
  <c r="E16" i="33"/>
  <c r="F16" i="33"/>
  <c r="G16" i="33"/>
  <c r="C16" i="33"/>
  <c r="D15" i="33"/>
  <c r="E15" i="33"/>
  <c r="F15" i="33"/>
  <c r="G15" i="33"/>
  <c r="C15" i="33"/>
  <c r="C13" i="33"/>
  <c r="D13" i="33"/>
  <c r="E13" i="33"/>
  <c r="F13" i="33"/>
  <c r="G13" i="33"/>
  <c r="C14" i="33"/>
  <c r="D14" i="33"/>
  <c r="E14" i="33"/>
  <c r="F14" i="33"/>
  <c r="G14" i="33"/>
  <c r="B14" i="33"/>
  <c r="B13" i="33"/>
  <c r="D12" i="33"/>
  <c r="E12" i="33"/>
  <c r="F12" i="33"/>
  <c r="G12" i="33"/>
  <c r="C12" i="33"/>
  <c r="D11" i="33"/>
  <c r="E11" i="33"/>
  <c r="F11" i="33"/>
  <c r="G11" i="33"/>
  <c r="C11" i="33"/>
  <c r="C9" i="33"/>
  <c r="D9" i="33"/>
  <c r="E9" i="33"/>
  <c r="F9" i="33"/>
  <c r="G9" i="33"/>
  <c r="C10" i="33"/>
  <c r="D10" i="33"/>
  <c r="E10" i="33"/>
  <c r="F10" i="33"/>
  <c r="G10" i="33"/>
  <c r="B10" i="33"/>
  <c r="B9" i="33"/>
  <c r="D8" i="33"/>
  <c r="E8" i="33"/>
  <c r="F8" i="33"/>
  <c r="G8" i="33"/>
  <c r="C8" i="33"/>
  <c r="C6" i="33"/>
  <c r="D6" i="33"/>
  <c r="E6" i="33"/>
  <c r="F6" i="33"/>
  <c r="G6" i="33"/>
  <c r="C7" i="33"/>
  <c r="D7" i="33"/>
  <c r="E7" i="33"/>
  <c r="F7" i="33"/>
  <c r="G7" i="33"/>
  <c r="B7" i="33"/>
  <c r="B6" i="33"/>
  <c r="D12" i="32"/>
  <c r="E12" i="32"/>
  <c r="F12" i="32"/>
  <c r="G12" i="32"/>
  <c r="C12" i="32"/>
  <c r="D11" i="32"/>
  <c r="E11" i="32"/>
  <c r="F11" i="32"/>
  <c r="G11" i="32"/>
  <c r="C11" i="32"/>
  <c r="C9" i="32"/>
  <c r="D9" i="32"/>
  <c r="E9" i="32"/>
  <c r="F9" i="32"/>
  <c r="G9" i="32"/>
  <c r="C10" i="32"/>
  <c r="D10" i="32"/>
  <c r="E10" i="32"/>
  <c r="F10" i="32"/>
  <c r="G10" i="32"/>
  <c r="B10" i="32"/>
  <c r="B9" i="32"/>
  <c r="D8" i="32"/>
  <c r="E8" i="32"/>
  <c r="F8" i="32"/>
  <c r="G8" i="32"/>
  <c r="C8" i="32"/>
  <c r="C6" i="32"/>
  <c r="D6" i="32"/>
  <c r="E6" i="32"/>
  <c r="F6" i="32"/>
  <c r="G6" i="32"/>
  <c r="C7" i="32"/>
  <c r="D7" i="32"/>
  <c r="E7" i="32"/>
  <c r="F7" i="32"/>
  <c r="G7" i="32"/>
  <c r="B7" i="32"/>
  <c r="B6" i="32"/>
  <c r="D8" i="31"/>
  <c r="E8" i="31"/>
  <c r="F8" i="31"/>
  <c r="G8" i="31"/>
  <c r="C8" i="31"/>
  <c r="C6" i="31"/>
  <c r="D6" i="31"/>
  <c r="E6" i="31"/>
  <c r="F6" i="31"/>
  <c r="G6" i="31"/>
  <c r="C7" i="31"/>
  <c r="D7" i="31"/>
  <c r="E7" i="31"/>
  <c r="F7" i="31"/>
  <c r="G7" i="31"/>
  <c r="B7" i="31"/>
  <c r="B6" i="31"/>
  <c r="D8" i="30"/>
  <c r="E8" i="30"/>
  <c r="F8" i="30"/>
  <c r="G8" i="30"/>
  <c r="C8" i="30"/>
  <c r="C6" i="30"/>
  <c r="D6" i="30"/>
  <c r="E6" i="30"/>
  <c r="F6" i="30"/>
  <c r="G6" i="30"/>
  <c r="C7" i="30"/>
  <c r="D7" i="30"/>
  <c r="E7" i="30"/>
  <c r="F7" i="30"/>
  <c r="G7" i="30"/>
  <c r="B7" i="30"/>
  <c r="B6" i="30"/>
  <c r="D8" i="29"/>
  <c r="E8" i="29"/>
  <c r="F8" i="29"/>
  <c r="G8" i="29"/>
  <c r="C8" i="29"/>
  <c r="C6" i="29"/>
  <c r="D6" i="29"/>
  <c r="E6" i="29"/>
  <c r="F6" i="29"/>
  <c r="G6" i="29"/>
  <c r="C7" i="29"/>
  <c r="D7" i="29"/>
  <c r="E7" i="29"/>
  <c r="F7" i="29"/>
  <c r="G7" i="29"/>
  <c r="B7" i="29"/>
  <c r="B6" i="29"/>
  <c r="D8" i="28"/>
  <c r="E8" i="28"/>
  <c r="F8" i="28"/>
  <c r="G8" i="28"/>
  <c r="C8" i="28"/>
  <c r="C6" i="28"/>
  <c r="D6" i="28"/>
  <c r="E6" i="28"/>
  <c r="F6" i="28"/>
  <c r="G6" i="28"/>
  <c r="C7" i="28"/>
  <c r="D7" i="28"/>
  <c r="E7" i="28"/>
  <c r="F7" i="28"/>
  <c r="G7" i="28"/>
  <c r="B7" i="28"/>
  <c r="B6" i="28"/>
  <c r="D8" i="27"/>
  <c r="E8" i="27"/>
  <c r="F8" i="27"/>
  <c r="G8" i="27"/>
  <c r="C8" i="27"/>
  <c r="C6" i="27"/>
  <c r="D6" i="27"/>
  <c r="E6" i="27"/>
  <c r="F6" i="27"/>
  <c r="G6" i="27"/>
  <c r="C7" i="27"/>
  <c r="D7" i="27"/>
  <c r="E7" i="27"/>
  <c r="F7" i="27"/>
  <c r="G7" i="27"/>
  <c r="B7" i="27"/>
  <c r="B6" i="27"/>
  <c r="D8" i="26"/>
  <c r="E8" i="26"/>
  <c r="F8" i="26"/>
  <c r="G8" i="26"/>
  <c r="C8" i="26"/>
  <c r="C6" i="26"/>
  <c r="D6" i="26"/>
  <c r="E6" i="26"/>
  <c r="F6" i="26"/>
  <c r="G6" i="26"/>
  <c r="C7" i="26"/>
  <c r="D7" i="26"/>
  <c r="E7" i="26"/>
  <c r="F7" i="26"/>
  <c r="G7" i="26"/>
  <c r="B7" i="26"/>
  <c r="B6" i="26"/>
  <c r="D8" i="25"/>
  <c r="E8" i="25"/>
  <c r="F8" i="25"/>
  <c r="G8" i="25"/>
  <c r="C8" i="25"/>
  <c r="C6" i="25"/>
  <c r="D6" i="25"/>
  <c r="E6" i="25"/>
  <c r="F6" i="25"/>
  <c r="G6" i="25"/>
  <c r="C7" i="25"/>
  <c r="D7" i="25"/>
  <c r="E7" i="25"/>
  <c r="F7" i="25"/>
  <c r="G7" i="25"/>
  <c r="B7" i="25"/>
  <c r="B6" i="25"/>
  <c r="D8" i="24"/>
  <c r="E8" i="24"/>
  <c r="F8" i="24"/>
  <c r="G8" i="24"/>
  <c r="C8" i="24"/>
  <c r="C6" i="24"/>
  <c r="D6" i="24"/>
  <c r="E6" i="24"/>
  <c r="F6" i="24"/>
  <c r="G6" i="24"/>
  <c r="C7" i="24"/>
  <c r="D7" i="24"/>
  <c r="E7" i="24"/>
  <c r="F7" i="24"/>
  <c r="G7" i="24"/>
  <c r="B7" i="24"/>
  <c r="B6" i="24"/>
  <c r="D8" i="23"/>
  <c r="E8" i="23"/>
  <c r="F8" i="23"/>
  <c r="G8" i="23"/>
  <c r="C8" i="23"/>
  <c r="C6" i="23"/>
  <c r="D6" i="23"/>
  <c r="E6" i="23"/>
  <c r="F6" i="23"/>
  <c r="G6" i="23"/>
  <c r="B6" i="23"/>
  <c r="D8" i="22"/>
  <c r="E8" i="22"/>
  <c r="F8" i="22"/>
  <c r="G8" i="22"/>
  <c r="C8" i="22"/>
  <c r="C6" i="22"/>
  <c r="D6" i="22"/>
  <c r="E6" i="22"/>
  <c r="F6" i="22"/>
  <c r="G6" i="22"/>
  <c r="C7" i="22"/>
  <c r="D7" i="22"/>
  <c r="E7" i="22"/>
  <c r="F7" i="22"/>
  <c r="G7" i="22"/>
  <c r="B7" i="22"/>
  <c r="B6" i="22"/>
  <c r="D8" i="21"/>
  <c r="E8" i="21"/>
  <c r="F8" i="21"/>
  <c r="G8" i="21"/>
  <c r="C8" i="21"/>
  <c r="C6" i="21"/>
  <c r="D6" i="21"/>
  <c r="E6" i="21"/>
  <c r="F6" i="21"/>
  <c r="G6" i="21"/>
  <c r="C7" i="21"/>
  <c r="D7" i="21"/>
  <c r="E7" i="21"/>
  <c r="F7" i="21"/>
  <c r="G7" i="21"/>
  <c r="B7" i="21"/>
  <c r="B6" i="21"/>
  <c r="D8" i="20"/>
  <c r="E8" i="20"/>
  <c r="F8" i="20"/>
  <c r="G8" i="20"/>
  <c r="C8" i="20"/>
  <c r="C6" i="20"/>
  <c r="D6" i="20"/>
  <c r="E6" i="20"/>
  <c r="F6" i="20"/>
  <c r="G6" i="20"/>
  <c r="C7" i="20"/>
  <c r="D7" i="20"/>
  <c r="E7" i="20"/>
  <c r="F7" i="20"/>
  <c r="G7" i="20"/>
  <c r="B7" i="20"/>
  <c r="B6" i="20"/>
  <c r="D9" i="19"/>
  <c r="E9" i="19"/>
  <c r="F9" i="19"/>
  <c r="G9" i="19"/>
  <c r="C9" i="19"/>
  <c r="C6" i="19"/>
  <c r="D6" i="19"/>
  <c r="E6" i="19"/>
  <c r="F6" i="19"/>
  <c r="G6" i="19"/>
  <c r="C7" i="19"/>
  <c r="D7" i="19"/>
  <c r="E7" i="19"/>
  <c r="F7" i="19"/>
  <c r="G7" i="19"/>
  <c r="C8" i="19"/>
  <c r="D8" i="19"/>
  <c r="E8" i="19"/>
  <c r="F8" i="19"/>
  <c r="G8" i="19"/>
  <c r="B8" i="19"/>
  <c r="B7" i="19"/>
  <c r="B6" i="19"/>
  <c r="D8" i="18"/>
  <c r="E8" i="18"/>
  <c r="F8" i="18"/>
  <c r="G8" i="18"/>
  <c r="C8" i="18"/>
  <c r="C6" i="18"/>
  <c r="D6" i="18"/>
  <c r="E6" i="18"/>
  <c r="F6" i="18"/>
  <c r="G6" i="18"/>
  <c r="C7" i="18"/>
  <c r="D7" i="18"/>
  <c r="E7" i="18"/>
  <c r="F7" i="18"/>
  <c r="G7" i="18"/>
  <c r="B7" i="18"/>
  <c r="B6" i="18"/>
  <c r="D8" i="17"/>
  <c r="E8" i="17"/>
  <c r="F8" i="17"/>
  <c r="G8" i="17"/>
  <c r="C8" i="17"/>
  <c r="C6" i="17"/>
  <c r="D6" i="17"/>
  <c r="E6" i="17"/>
  <c r="F6" i="17"/>
  <c r="G6" i="17"/>
  <c r="C7" i="17"/>
  <c r="D7" i="17"/>
  <c r="E7" i="17"/>
  <c r="F7" i="17"/>
  <c r="G7" i="17"/>
  <c r="B7" i="17"/>
  <c r="B6" i="17"/>
  <c r="D8" i="16"/>
  <c r="E8" i="16"/>
  <c r="F8" i="16"/>
  <c r="G8" i="16"/>
  <c r="C8" i="16"/>
  <c r="C6" i="16"/>
  <c r="D6" i="16"/>
  <c r="E6" i="16"/>
  <c r="F6" i="16"/>
  <c r="G6" i="16"/>
  <c r="C7" i="16"/>
  <c r="D7" i="16"/>
  <c r="E7" i="16"/>
  <c r="F7" i="16"/>
  <c r="G7" i="16"/>
  <c r="B7" i="16"/>
  <c r="B6" i="16"/>
  <c r="D9" i="15"/>
  <c r="E9" i="15"/>
  <c r="F9" i="15"/>
  <c r="G9" i="15"/>
  <c r="C9" i="15"/>
  <c r="C6" i="15"/>
  <c r="D6" i="15"/>
  <c r="E6" i="15"/>
  <c r="F6" i="15"/>
  <c r="G6" i="15"/>
  <c r="C7" i="15"/>
  <c r="D7" i="15"/>
  <c r="E7" i="15"/>
  <c r="F7" i="15"/>
  <c r="G7" i="15"/>
  <c r="C8" i="15"/>
  <c r="D8" i="15"/>
  <c r="E8" i="15"/>
  <c r="F8" i="15"/>
  <c r="G8" i="15"/>
  <c r="B8" i="15"/>
  <c r="B7" i="15"/>
  <c r="B6" i="15"/>
  <c r="D8" i="14"/>
  <c r="E8" i="14"/>
  <c r="F8" i="14"/>
  <c r="G8" i="14"/>
  <c r="C8" i="14"/>
  <c r="C6" i="14"/>
  <c r="D6" i="14"/>
  <c r="E6" i="14"/>
  <c r="F6" i="14"/>
  <c r="G6" i="14"/>
  <c r="C7" i="14"/>
  <c r="D7" i="14"/>
  <c r="E7" i="14"/>
  <c r="F7" i="14"/>
  <c r="G7" i="14"/>
  <c r="B7" i="14"/>
  <c r="B6" i="14"/>
  <c r="D8" i="13"/>
  <c r="E8" i="13"/>
  <c r="F8" i="13"/>
  <c r="G8" i="13"/>
  <c r="C8" i="13"/>
  <c r="C6" i="13"/>
  <c r="D6" i="13"/>
  <c r="E6" i="13"/>
  <c r="F6" i="13"/>
  <c r="G6" i="13"/>
  <c r="C7" i="13"/>
  <c r="D7" i="13"/>
  <c r="E7" i="13"/>
  <c r="F7" i="13"/>
  <c r="G7" i="13"/>
  <c r="B7" i="13"/>
  <c r="B6" i="13"/>
  <c r="D8" i="12"/>
  <c r="E8" i="12"/>
  <c r="F8" i="12"/>
  <c r="G8" i="12"/>
  <c r="C8" i="12"/>
  <c r="C6" i="12"/>
  <c r="D6" i="12"/>
  <c r="E6" i="12"/>
  <c r="F6" i="12"/>
  <c r="G6" i="12"/>
  <c r="C7" i="12"/>
  <c r="D7" i="12"/>
  <c r="E7" i="12"/>
  <c r="F7" i="12"/>
  <c r="G7" i="12"/>
  <c r="B7" i="12"/>
  <c r="B6" i="12"/>
  <c r="D9" i="11"/>
  <c r="E9" i="11"/>
  <c r="F9" i="11"/>
  <c r="G9" i="11"/>
  <c r="C9" i="11"/>
  <c r="D8" i="11"/>
  <c r="E8" i="11"/>
  <c r="F8" i="11"/>
  <c r="G8" i="11"/>
  <c r="C8" i="11"/>
  <c r="C6" i="11"/>
  <c r="D6" i="11"/>
  <c r="E6" i="11"/>
  <c r="F6" i="11"/>
  <c r="G6" i="11"/>
  <c r="C7" i="11"/>
  <c r="D7" i="11"/>
  <c r="E7" i="11"/>
  <c r="F7" i="11"/>
  <c r="G7" i="11"/>
  <c r="B7" i="11"/>
  <c r="B6" i="11"/>
  <c r="D12" i="10"/>
  <c r="E12" i="10"/>
  <c r="F12" i="10"/>
  <c r="G12" i="10"/>
  <c r="C12" i="10"/>
  <c r="D11" i="10"/>
  <c r="E11" i="10"/>
  <c r="F11" i="10"/>
  <c r="G11" i="10"/>
  <c r="C11" i="10"/>
  <c r="C9" i="10"/>
  <c r="D9" i="10"/>
  <c r="E9" i="10"/>
  <c r="F9" i="10"/>
  <c r="G9" i="10"/>
  <c r="C10" i="10"/>
  <c r="D10" i="10"/>
  <c r="E10" i="10"/>
  <c r="F10" i="10"/>
  <c r="G10" i="10"/>
  <c r="B10" i="10"/>
  <c r="B9" i="10"/>
  <c r="D8" i="10"/>
  <c r="E8" i="10"/>
  <c r="F8" i="10"/>
  <c r="G8" i="10"/>
  <c r="C8" i="10"/>
  <c r="C6" i="10"/>
  <c r="D6" i="10"/>
  <c r="E6" i="10"/>
  <c r="F6" i="10"/>
  <c r="G6" i="10"/>
  <c r="C7" i="10"/>
  <c r="D7" i="10"/>
  <c r="E7" i="10"/>
  <c r="F7" i="10"/>
  <c r="G7" i="10"/>
  <c r="B7" i="10"/>
  <c r="B6" i="10"/>
  <c r="D8" i="9"/>
  <c r="E8" i="9"/>
  <c r="F8" i="9"/>
  <c r="G8" i="9"/>
  <c r="C8" i="9"/>
  <c r="C6" i="9"/>
  <c r="D6" i="9"/>
  <c r="E6" i="9"/>
  <c r="F6" i="9"/>
  <c r="G6" i="9"/>
  <c r="C7" i="9"/>
  <c r="D7" i="9"/>
  <c r="E7" i="9"/>
  <c r="F7" i="9"/>
  <c r="G7" i="9"/>
  <c r="B7" i="9"/>
  <c r="B6" i="9"/>
  <c r="D8" i="8"/>
  <c r="E8" i="8"/>
  <c r="F8" i="8"/>
  <c r="G8" i="8"/>
  <c r="C8" i="8"/>
  <c r="C6" i="8"/>
  <c r="D6" i="8"/>
  <c r="E6" i="8"/>
  <c r="F6" i="8"/>
  <c r="G6" i="8"/>
  <c r="C7" i="8"/>
  <c r="D7" i="8"/>
  <c r="E7" i="8"/>
  <c r="F7" i="8"/>
  <c r="G7" i="8"/>
  <c r="B7" i="8"/>
  <c r="B6" i="8"/>
  <c r="D8" i="7"/>
  <c r="E8" i="7"/>
  <c r="F8" i="7"/>
  <c r="G8" i="7"/>
  <c r="C8" i="7"/>
  <c r="C6" i="7"/>
  <c r="D6" i="7"/>
  <c r="E6" i="7"/>
  <c r="F6" i="7"/>
  <c r="G6" i="7"/>
  <c r="C7" i="7"/>
  <c r="D7" i="7"/>
  <c r="E7" i="7"/>
  <c r="F7" i="7"/>
  <c r="G7" i="7"/>
  <c r="B7" i="7"/>
  <c r="B6" i="7"/>
  <c r="D157" i="6"/>
  <c r="E157" i="6"/>
  <c r="F157" i="6"/>
  <c r="G157" i="6"/>
  <c r="C157" i="6"/>
  <c r="D156" i="6"/>
  <c r="E156" i="6"/>
  <c r="F156" i="6"/>
  <c r="G156" i="6"/>
  <c r="C156" i="6"/>
  <c r="C154" i="6"/>
  <c r="D154" i="6"/>
  <c r="E154" i="6"/>
  <c r="F154" i="6"/>
  <c r="G154" i="6"/>
  <c r="C155" i="6"/>
  <c r="D155" i="6"/>
  <c r="E155" i="6"/>
  <c r="F155" i="6"/>
  <c r="G155" i="6"/>
  <c r="B155" i="6"/>
  <c r="B154" i="6"/>
  <c r="D153" i="6"/>
  <c r="E153" i="6"/>
  <c r="F153" i="6"/>
  <c r="G153" i="6"/>
  <c r="C153" i="6"/>
  <c r="D152" i="6"/>
  <c r="E152" i="6"/>
  <c r="F152" i="6"/>
  <c r="G152" i="6"/>
  <c r="C152" i="6"/>
  <c r="C150" i="6"/>
  <c r="D150" i="6"/>
  <c r="E150" i="6"/>
  <c r="F150" i="6"/>
  <c r="G150" i="6"/>
  <c r="C151" i="6"/>
  <c r="D151" i="6"/>
  <c r="E151" i="6"/>
  <c r="F151" i="6"/>
  <c r="G151" i="6"/>
  <c r="B151" i="6"/>
  <c r="B150" i="6"/>
  <c r="D149" i="6"/>
  <c r="E149" i="6"/>
  <c r="F149" i="6"/>
  <c r="G149" i="6"/>
  <c r="C149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D144" i="6"/>
  <c r="E144" i="6"/>
  <c r="F144" i="6"/>
  <c r="G144" i="6"/>
  <c r="C144" i="6"/>
  <c r="D143" i="6"/>
  <c r="E143" i="6"/>
  <c r="F143" i="6"/>
  <c r="G143" i="6"/>
  <c r="C143" i="6"/>
  <c r="C141" i="6"/>
  <c r="D141" i="6"/>
  <c r="E141" i="6"/>
  <c r="F141" i="6"/>
  <c r="G141" i="6"/>
  <c r="C142" i="6"/>
  <c r="D142" i="6"/>
  <c r="E142" i="6"/>
  <c r="F142" i="6"/>
  <c r="G142" i="6"/>
  <c r="B142" i="6"/>
  <c r="B141" i="6"/>
  <c r="D140" i="6"/>
  <c r="E140" i="6"/>
  <c r="F140" i="6"/>
  <c r="G140" i="6"/>
  <c r="C140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D135" i="6"/>
  <c r="E135" i="6"/>
  <c r="F135" i="6"/>
  <c r="G135" i="6"/>
  <c r="C135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D130" i="6"/>
  <c r="E130" i="6"/>
  <c r="F130" i="6"/>
  <c r="G130" i="6"/>
  <c r="C130" i="6"/>
  <c r="C128" i="6"/>
  <c r="D128" i="6"/>
  <c r="E128" i="6"/>
  <c r="F128" i="6"/>
  <c r="G128" i="6"/>
  <c r="C129" i="6"/>
  <c r="D129" i="6"/>
  <c r="E129" i="6"/>
  <c r="F129" i="6"/>
  <c r="G129" i="6"/>
  <c r="B129" i="6"/>
  <c r="B128" i="6"/>
  <c r="D125" i="6"/>
  <c r="E125" i="6"/>
  <c r="F125" i="6"/>
  <c r="G125" i="6"/>
  <c r="C125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D120" i="6"/>
  <c r="E120" i="6"/>
  <c r="F120" i="6"/>
  <c r="G120" i="6"/>
  <c r="C120" i="6"/>
  <c r="C118" i="6"/>
  <c r="D118" i="6"/>
  <c r="E118" i="6"/>
  <c r="F118" i="6"/>
  <c r="G118" i="6"/>
  <c r="C119" i="6"/>
  <c r="D119" i="6"/>
  <c r="E119" i="6"/>
  <c r="F119" i="6"/>
  <c r="G119" i="6"/>
  <c r="B119" i="6"/>
  <c r="B118" i="6"/>
  <c r="D115" i="6"/>
  <c r="E115" i="6"/>
  <c r="F115" i="6"/>
  <c r="G115" i="6"/>
  <c r="C115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D110" i="6"/>
  <c r="E110" i="6"/>
  <c r="F110" i="6"/>
  <c r="G110" i="6"/>
  <c r="C110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D105" i="6"/>
  <c r="E105" i="6"/>
  <c r="F105" i="6"/>
  <c r="G105" i="6"/>
  <c r="C105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D100" i="6"/>
  <c r="E100" i="6"/>
  <c r="F100" i="6"/>
  <c r="G100" i="6"/>
  <c r="C100" i="6"/>
  <c r="C98" i="6"/>
  <c r="D98" i="6"/>
  <c r="E98" i="6"/>
  <c r="F98" i="6"/>
  <c r="G98" i="6"/>
  <c r="C99" i="6"/>
  <c r="D99" i="6"/>
  <c r="E99" i="6"/>
  <c r="F99" i="6"/>
  <c r="G99" i="6"/>
  <c r="B99" i="6"/>
  <c r="B98" i="6"/>
  <c r="D95" i="6"/>
  <c r="E95" i="6"/>
  <c r="F95" i="6"/>
  <c r="G95" i="6"/>
  <c r="C95" i="6"/>
  <c r="C93" i="6"/>
  <c r="D93" i="6"/>
  <c r="E93" i="6"/>
  <c r="F93" i="6"/>
  <c r="G93" i="6"/>
  <c r="B93" i="6"/>
  <c r="D90" i="6"/>
  <c r="E90" i="6"/>
  <c r="F90" i="6"/>
  <c r="G90" i="6"/>
  <c r="C90" i="6"/>
  <c r="C88" i="6"/>
  <c r="D88" i="6"/>
  <c r="E88" i="6"/>
  <c r="F88" i="6"/>
  <c r="G88" i="6"/>
  <c r="C89" i="6"/>
  <c r="D89" i="6"/>
  <c r="E89" i="6"/>
  <c r="F89" i="6"/>
  <c r="G89" i="6"/>
  <c r="B89" i="6"/>
  <c r="B88" i="6"/>
  <c r="D85" i="6"/>
  <c r="E85" i="6"/>
  <c r="F85" i="6"/>
  <c r="G85" i="6"/>
  <c r="C85" i="6"/>
  <c r="C83" i="6"/>
  <c r="D83" i="6"/>
  <c r="E83" i="6"/>
  <c r="F83" i="6"/>
  <c r="G83" i="6"/>
  <c r="C84" i="6"/>
  <c r="D84" i="6"/>
  <c r="E84" i="6"/>
  <c r="F84" i="6"/>
  <c r="G84" i="6"/>
  <c r="B84" i="6"/>
  <c r="B83" i="6"/>
  <c r="D80" i="6"/>
  <c r="E80" i="6"/>
  <c r="F80" i="6"/>
  <c r="G80" i="6"/>
  <c r="C80" i="6"/>
  <c r="C78" i="6"/>
  <c r="D78" i="6"/>
  <c r="E78" i="6"/>
  <c r="F78" i="6"/>
  <c r="G78" i="6"/>
  <c r="C79" i="6"/>
  <c r="D79" i="6"/>
  <c r="E79" i="6"/>
  <c r="F79" i="6"/>
  <c r="G79" i="6"/>
  <c r="B79" i="6"/>
  <c r="B78" i="6"/>
  <c r="D75" i="6"/>
  <c r="E75" i="6"/>
  <c r="F75" i="6"/>
  <c r="G75" i="6"/>
  <c r="C75" i="6"/>
  <c r="C72" i="6"/>
  <c r="D72" i="6"/>
  <c r="E72" i="6"/>
  <c r="F72" i="6"/>
  <c r="G72" i="6"/>
  <c r="C73" i="6"/>
  <c r="D73" i="6"/>
  <c r="E73" i="6"/>
  <c r="F73" i="6"/>
  <c r="G73" i="6"/>
  <c r="C74" i="6"/>
  <c r="D74" i="6"/>
  <c r="E74" i="6"/>
  <c r="F74" i="6"/>
  <c r="G74" i="6"/>
  <c r="B74" i="6"/>
  <c r="B73" i="6"/>
  <c r="B72" i="6"/>
  <c r="D69" i="6"/>
  <c r="E69" i="6"/>
  <c r="F69" i="6"/>
  <c r="G69" i="6"/>
  <c r="C69" i="6"/>
  <c r="C67" i="6"/>
  <c r="D67" i="6"/>
  <c r="E67" i="6"/>
  <c r="F67" i="6"/>
  <c r="G67" i="6"/>
  <c r="C68" i="6"/>
  <c r="D68" i="6"/>
  <c r="E68" i="6"/>
  <c r="F68" i="6"/>
  <c r="G68" i="6"/>
  <c r="B68" i="6"/>
  <c r="B67" i="6"/>
  <c r="D64" i="6"/>
  <c r="E64" i="6"/>
  <c r="F64" i="6"/>
  <c r="G64" i="6"/>
  <c r="C64" i="6"/>
  <c r="C62" i="6"/>
  <c r="D62" i="6"/>
  <c r="E62" i="6"/>
  <c r="F62" i="6"/>
  <c r="G62" i="6"/>
  <c r="C63" i="6"/>
  <c r="D63" i="6"/>
  <c r="E63" i="6"/>
  <c r="F63" i="6"/>
  <c r="G63" i="6"/>
  <c r="B63" i="6"/>
  <c r="B62" i="6"/>
  <c r="D59" i="6"/>
  <c r="E59" i="6"/>
  <c r="F59" i="6"/>
  <c r="G59" i="6"/>
  <c r="C59" i="6"/>
  <c r="C57" i="6"/>
  <c r="D57" i="6"/>
  <c r="E57" i="6"/>
  <c r="F57" i="6"/>
  <c r="G57" i="6"/>
  <c r="C58" i="6"/>
  <c r="D58" i="6"/>
  <c r="E58" i="6"/>
  <c r="F58" i="6"/>
  <c r="G58" i="6"/>
  <c r="B58" i="6"/>
  <c r="B57" i="6"/>
  <c r="D54" i="6"/>
  <c r="E54" i="6"/>
  <c r="F54" i="6"/>
  <c r="G54" i="6"/>
  <c r="C54" i="6"/>
  <c r="C51" i="6"/>
  <c r="D51" i="6"/>
  <c r="E51" i="6"/>
  <c r="F51" i="6"/>
  <c r="G51" i="6"/>
  <c r="C52" i="6"/>
  <c r="D52" i="6"/>
  <c r="E52" i="6"/>
  <c r="F52" i="6"/>
  <c r="G52" i="6"/>
  <c r="C53" i="6"/>
  <c r="D53" i="6"/>
  <c r="E53" i="6"/>
  <c r="F53" i="6"/>
  <c r="G53" i="6"/>
  <c r="B53" i="6"/>
  <c r="B52" i="6"/>
  <c r="B51" i="6"/>
  <c r="D48" i="6"/>
  <c r="E48" i="6"/>
  <c r="F48" i="6"/>
  <c r="G48" i="6"/>
  <c r="C48" i="6"/>
  <c r="C46" i="6"/>
  <c r="D46" i="6"/>
  <c r="E46" i="6"/>
  <c r="F46" i="6"/>
  <c r="G46" i="6"/>
  <c r="C47" i="6"/>
  <c r="D47" i="6"/>
  <c r="E47" i="6"/>
  <c r="F47" i="6"/>
  <c r="G47" i="6"/>
  <c r="B47" i="6"/>
  <c r="B46" i="6"/>
  <c r="D43" i="6"/>
  <c r="E43" i="6"/>
  <c r="F43" i="6"/>
  <c r="G43" i="6"/>
  <c r="C43" i="6"/>
  <c r="C41" i="6"/>
  <c r="D41" i="6"/>
  <c r="E41" i="6"/>
  <c r="F41" i="6"/>
  <c r="G41" i="6"/>
  <c r="C42" i="6"/>
  <c r="D42" i="6"/>
  <c r="E42" i="6"/>
  <c r="F42" i="6"/>
  <c r="G42" i="6"/>
  <c r="B42" i="6"/>
  <c r="B41" i="6"/>
  <c r="D38" i="6"/>
  <c r="E38" i="6"/>
  <c r="F38" i="6"/>
  <c r="G38" i="6"/>
  <c r="C38" i="6"/>
  <c r="C36" i="6"/>
  <c r="D36" i="6"/>
  <c r="E36" i="6"/>
  <c r="F36" i="6"/>
  <c r="G36" i="6"/>
  <c r="C37" i="6"/>
  <c r="D37" i="6"/>
  <c r="E37" i="6"/>
  <c r="F37" i="6"/>
  <c r="G37" i="6"/>
  <c r="B37" i="6"/>
  <c r="B36" i="6"/>
  <c r="D33" i="6"/>
  <c r="E33" i="6"/>
  <c r="F33" i="6"/>
  <c r="G33" i="6"/>
  <c r="C33" i="6"/>
  <c r="D32" i="6"/>
  <c r="E32" i="6"/>
  <c r="F32" i="6"/>
  <c r="G32" i="6"/>
  <c r="C32" i="6"/>
  <c r="C30" i="6"/>
  <c r="D30" i="6"/>
  <c r="E30" i="6"/>
  <c r="F30" i="6"/>
  <c r="G30" i="6"/>
  <c r="C31" i="6"/>
  <c r="D31" i="6"/>
  <c r="E31" i="6"/>
  <c r="F31" i="6"/>
  <c r="G31" i="6"/>
  <c r="B31" i="6"/>
  <c r="B30" i="6"/>
  <c r="D27" i="6"/>
  <c r="E27" i="6"/>
  <c r="F27" i="6"/>
  <c r="G27" i="6"/>
  <c r="C27" i="6"/>
  <c r="D26" i="6"/>
  <c r="E26" i="6"/>
  <c r="F26" i="6"/>
  <c r="G26" i="6"/>
  <c r="C26" i="6"/>
  <c r="C24" i="6"/>
  <c r="D24" i="6"/>
  <c r="E24" i="6"/>
  <c r="F24" i="6"/>
  <c r="G24" i="6"/>
  <c r="C25" i="6"/>
  <c r="D25" i="6"/>
  <c r="E25" i="6"/>
  <c r="F25" i="6"/>
  <c r="G25" i="6"/>
  <c r="B25" i="6"/>
  <c r="B24" i="6"/>
  <c r="D23" i="6"/>
  <c r="E23" i="6"/>
  <c r="F23" i="6"/>
  <c r="G23" i="6"/>
  <c r="C23" i="6"/>
  <c r="C21" i="6"/>
  <c r="D21" i="6"/>
  <c r="E21" i="6"/>
  <c r="F21" i="6"/>
  <c r="G21" i="6"/>
  <c r="C22" i="6"/>
  <c r="D22" i="6"/>
  <c r="E22" i="6"/>
  <c r="F22" i="6"/>
  <c r="G22" i="6"/>
  <c r="B22" i="6"/>
  <c r="B21" i="6"/>
  <c r="D18" i="6"/>
  <c r="E18" i="6"/>
  <c r="F18" i="6"/>
  <c r="G18" i="6"/>
  <c r="C18" i="6"/>
  <c r="C16" i="6"/>
  <c r="D16" i="6"/>
  <c r="E16" i="6"/>
  <c r="F16" i="6"/>
  <c r="G16" i="6"/>
  <c r="C17" i="6"/>
  <c r="D17" i="6"/>
  <c r="E17" i="6"/>
  <c r="F17" i="6"/>
  <c r="G17" i="6"/>
  <c r="B17" i="6"/>
  <c r="B16" i="6"/>
  <c r="D13" i="6"/>
  <c r="E13" i="6"/>
  <c r="F13" i="6"/>
  <c r="G13" i="6"/>
  <c r="C13" i="6"/>
  <c r="C11" i="6"/>
  <c r="D11" i="6"/>
  <c r="E11" i="6"/>
  <c r="F11" i="6"/>
  <c r="G11" i="6"/>
  <c r="C12" i="6"/>
  <c r="D12" i="6"/>
  <c r="E12" i="6"/>
  <c r="F12" i="6"/>
  <c r="G12" i="6"/>
  <c r="B12" i="6"/>
  <c r="B11" i="6"/>
  <c r="D8" i="6"/>
  <c r="E8" i="6"/>
  <c r="F8" i="6"/>
  <c r="G8" i="6"/>
  <c r="C8" i="6"/>
  <c r="C6" i="6"/>
  <c r="D6" i="6"/>
  <c r="E6" i="6"/>
  <c r="F6" i="6"/>
  <c r="G6" i="6"/>
  <c r="C7" i="6"/>
  <c r="D7" i="6"/>
  <c r="E7" i="6"/>
  <c r="F7" i="6"/>
  <c r="G7" i="6"/>
  <c r="B7" i="6"/>
  <c r="B6" i="6"/>
  <c r="E8" i="4"/>
  <c r="F8" i="4" s="1"/>
  <c r="D8" i="4"/>
  <c r="F25" i="4"/>
  <c r="G25" i="4" s="1"/>
  <c r="G26" i="4" s="1"/>
  <c r="G30" i="4" s="1"/>
  <c r="E25" i="4"/>
  <c r="D25" i="4"/>
  <c r="E48" i="5"/>
  <c r="F48" i="5"/>
  <c r="G48" i="5"/>
  <c r="E47" i="5"/>
  <c r="F47" i="5"/>
  <c r="G47" i="5"/>
  <c r="D47" i="5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5" i="5"/>
  <c r="F35" i="5"/>
  <c r="G35" i="5"/>
  <c r="E34" i="5"/>
  <c r="F34" i="5"/>
  <c r="G34" i="5"/>
  <c r="D34" i="5"/>
  <c r="E33" i="5"/>
  <c r="F33" i="5"/>
  <c r="G33" i="5"/>
  <c r="D33" i="5"/>
  <c r="D35" i="5" s="1"/>
  <c r="D48" i="5" s="1"/>
  <c r="D38" i="4" s="1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7" i="5"/>
  <c r="F27" i="5"/>
  <c r="G27" i="5"/>
  <c r="D27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10" i="5"/>
  <c r="F10" i="5"/>
  <c r="G10" i="5"/>
  <c r="D10" i="5"/>
  <c r="E9" i="5"/>
  <c r="F9" i="5"/>
  <c r="G9" i="5"/>
  <c r="D9" i="5"/>
  <c r="E8" i="5"/>
  <c r="F8" i="5"/>
  <c r="G8" i="5"/>
  <c r="D8" i="5"/>
  <c r="E7" i="5"/>
  <c r="F7" i="5"/>
  <c r="G7" i="5"/>
  <c r="D7" i="5"/>
  <c r="E5" i="5"/>
  <c r="F5" i="5"/>
  <c r="G5" i="5"/>
  <c r="D5" i="5"/>
  <c r="D26" i="4"/>
  <c r="D30" i="4" s="1"/>
  <c r="E26" i="4"/>
  <c r="E30" i="4" s="1"/>
  <c r="F26" i="4"/>
  <c r="F30" i="4" s="1"/>
  <c r="D19" i="4"/>
  <c r="E19" i="4"/>
  <c r="F19" i="4"/>
  <c r="G19" i="4"/>
  <c r="D13" i="4"/>
  <c r="E13" i="4"/>
  <c r="F13" i="4"/>
  <c r="G13" i="4"/>
  <c r="D9" i="4"/>
  <c r="D21" i="4" s="1"/>
  <c r="E9" i="4"/>
  <c r="E21" i="4" s="1"/>
  <c r="D7" i="4"/>
  <c r="E7" i="4"/>
  <c r="F7" i="4"/>
  <c r="G7" i="4"/>
  <c r="C39" i="4"/>
  <c r="C30" i="4"/>
  <c r="C40" i="4" s="1"/>
  <c r="C26" i="4"/>
  <c r="C19" i="4"/>
  <c r="C13" i="4"/>
  <c r="C9" i="4"/>
  <c r="C21" i="4" s="1"/>
  <c r="C7" i="4"/>
  <c r="D35" i="3"/>
  <c r="E35" i="3"/>
  <c r="F35" i="3"/>
  <c r="G35" i="3"/>
  <c r="C35" i="3"/>
  <c r="D30" i="3"/>
  <c r="E30" i="3"/>
  <c r="F30" i="3"/>
  <c r="G30" i="3"/>
  <c r="D27" i="3"/>
  <c r="E27" i="3"/>
  <c r="F27" i="3"/>
  <c r="G27" i="3"/>
  <c r="D25" i="3"/>
  <c r="E25" i="3"/>
  <c r="F25" i="3"/>
  <c r="G25" i="3"/>
  <c r="D23" i="3"/>
  <c r="E23" i="3"/>
  <c r="F23" i="3"/>
  <c r="G23" i="3"/>
  <c r="D21" i="3"/>
  <c r="E21" i="3"/>
  <c r="F21" i="3"/>
  <c r="G21" i="3"/>
  <c r="D19" i="3"/>
  <c r="E19" i="3"/>
  <c r="F19" i="3"/>
  <c r="G19" i="3"/>
  <c r="D17" i="3"/>
  <c r="E17" i="3"/>
  <c r="F17" i="3"/>
  <c r="G17" i="3"/>
  <c r="D16" i="3"/>
  <c r="E16" i="3"/>
  <c r="F16" i="3"/>
  <c r="G16" i="3"/>
  <c r="D15" i="3"/>
  <c r="E15" i="3"/>
  <c r="F15" i="3"/>
  <c r="G15" i="3"/>
  <c r="D10" i="3"/>
  <c r="E10" i="3"/>
  <c r="F10" i="3"/>
  <c r="G10" i="3"/>
  <c r="D7" i="3"/>
  <c r="E7" i="3"/>
  <c r="F7" i="3"/>
  <c r="G7" i="3"/>
  <c r="C30" i="3"/>
  <c r="C27" i="3"/>
  <c r="C25" i="3"/>
  <c r="C23" i="3"/>
  <c r="C21" i="3"/>
  <c r="C19" i="3"/>
  <c r="C17" i="3"/>
  <c r="C16" i="3"/>
  <c r="C15" i="3"/>
  <c r="C10" i="3"/>
  <c r="C7" i="3"/>
  <c r="E38" i="4" l="1"/>
  <c r="D39" i="4"/>
  <c r="D40" i="4"/>
  <c r="F9" i="4"/>
  <c r="F21" i="4" s="1"/>
  <c r="G8" i="4"/>
  <c r="G9" i="4" s="1"/>
  <c r="G21" i="4" s="1"/>
  <c r="F38" i="4" l="1"/>
  <c r="E39" i="4"/>
  <c r="E40" i="4" s="1"/>
  <c r="F39" i="4" l="1"/>
  <c r="F40" i="4" s="1"/>
  <c r="G38" i="4"/>
  <c r="G39" i="4" s="1"/>
  <c r="G40" i="4" s="1"/>
</calcChain>
</file>

<file path=xl/sharedStrings.xml><?xml version="1.0" encoding="utf-8"?>
<sst xmlns="http://schemas.openxmlformats.org/spreadsheetml/2006/main" count="490" uniqueCount="203">
  <si>
    <t>Balance Sheet of Dr Reddys Laboratories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</si>
  <si>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</si>
  <si>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</si>
  <si>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</si>
  <si>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</si>
  <si>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</si>
  <si>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</si>
  <si>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</si>
  <si>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</si>
  <si>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</si>
  <si>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</si>
  <si>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</si>
  <si>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</si>
  <si>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</si>
  <si>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</si>
  <si>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</si>
  <si>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</si>
  <si>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</si>
  <si>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</si>
  <si>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</si>
  <si>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</si>
  <si>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</si>
  <si>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</si>
  <si>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</si>
  <si>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</si>
  <si>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</si>
  <si>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</si>
  <si>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</si>
  <si>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</si>
  <si>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</si>
  <si>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</si>
  <si>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</si>
  <si>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</si>
  <si>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</si>
  <si>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</si>
  <si>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</si>
  <si>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</si>
  <si>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</si>
  <si>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</si>
  <si>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</si>
  <si>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</si>
  <si>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</si>
  <si>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</si>
  <si>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</si>
  <si>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</si>
  <si>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</si>
  <si>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</si>
  <si>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</si>
  <si>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</si>
  <si>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</si>
  <si>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</si>
  <si>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</si>
  <si>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</si>
  <si>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</si>
  <si>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</si>
  <si>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Dr Reddys Laboratories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</si>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</sst>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8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</fonts>
  <fills count="6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1">
    <xf numFmtId="0" fontId="0" fillId="0" borderId="0"/>
  </cellStyleXfs>
  <cellXfs count="29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3" fillId="5" borderId="0" xfId="0" applyFont="1" applyFill="1" applyAlignment="1">
      <alignment horizontal="center" vertical="center"/>
    </xf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0" fontId="7" fillId="0" borderId="0" xfId="0" applyNumberFormat="1" applyFont="1"/>
    <xf numFmtId="164" fontId="7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A82-4331-9E91-05F9AB395709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A82-4331-9E91-05F9AB395709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A82-4331-9E91-05F9AB39570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'Earning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'Earning  Per Share'!$C$8:$G$8</c:f>
              <c:numCache>
                <c:formatCode>General</c:formatCode>
                <c:ptCount val="5"/>
                <c:pt idx="0">
                  <c:v>57</c:v>
                </c:pt>
                <c:pt idx="1">
                  <c:v>118</c:v>
                </c:pt>
                <c:pt idx="2">
                  <c:v>122</c:v>
                </c:pt>
                <c:pt idx="3">
                  <c:v>118</c:v>
                </c:pt>
                <c:pt idx="4">
                  <c:v>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A82-4331-9E91-05F9AB3957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2965032"/>
        <c:axId val="442961424"/>
      </c:lineChart>
      <c:catAx>
        <c:axId val="442965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961424"/>
        <c:crosses val="autoZero"/>
        <c:auto val="0"/>
        <c:lblAlgn val="ctr"/>
        <c:lblOffset val="100"/>
        <c:noMultiLvlLbl val="0"/>
      </c:catAx>
      <c:valAx>
        <c:axId val="4429614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29650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F71-4DE2-97E6-FE64CFA2AA4A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F71-4DE2-97E6-FE64CFA2AA4A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F71-4DE2-97E6-FE64CFA2AA4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Equity'!$C$3:$G$3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Equity'!$C$8:$G$8</c:f>
              <c:numCache>
                <c:formatCode>0.00%</c:formatCode>
                <c:ptCount val="5"/>
                <c:pt idx="0">
                  <c:v>0.09</c:v>
                </c:pt>
                <c:pt idx="1">
                  <c:v>0.11</c:v>
                </c:pt>
                <c:pt idx="2">
                  <c:v>0.14000000000000001</c:v>
                </c:pt>
                <c:pt idx="3">
                  <c:v>0.08</c:v>
                </c:pt>
                <c:pt idx="4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F71-4DE2-97E6-FE64CFA2AA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5264"/>
        <c:axId val="553593952"/>
      </c:lineChart>
      <c:catAx>
        <c:axId val="55359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3952"/>
        <c:crosses val="autoZero"/>
        <c:auto val="0"/>
        <c:lblAlgn val="ctr"/>
        <c:lblOffset val="100"/>
        <c:noMultiLvlLbl val="0"/>
      </c:catAx>
      <c:valAx>
        <c:axId val="553593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35952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F7F-4B15-B240-1B6657BE874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 Equity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 Equity Ratio'!$C$8:$G$8</c:f>
              <c:numCache>
                <c:formatCode>General</c:formatCode>
                <c:ptCount val="5"/>
                <c:pt idx="0">
                  <c:v>0.42</c:v>
                </c:pt>
                <c:pt idx="1">
                  <c:v>0.22</c:v>
                </c:pt>
                <c:pt idx="2">
                  <c:v>0.08</c:v>
                </c:pt>
                <c:pt idx="3">
                  <c:v>0.12</c:v>
                </c:pt>
                <c:pt idx="4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F7F-4B15-B240-1B6657BE87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0753176"/>
        <c:axId val="550759080"/>
      </c:lineChart>
      <c:catAx>
        <c:axId val="550753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0759080"/>
        <c:crosses val="autoZero"/>
        <c:auto val="0"/>
        <c:lblAlgn val="ctr"/>
        <c:lblOffset val="100"/>
        <c:noMultiLvlLbl val="0"/>
      </c:catAx>
      <c:valAx>
        <c:axId val="5507590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07531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0C7-4F13-BF58-B88051D2A7C9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0C7-4F13-BF58-B88051D2A7C9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0C7-4F13-BF58-B88051D2A7C9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E0C7-4F13-BF58-B88051D2A7C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'Current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'Current Ratio'!$C$8:$G$8</c:f>
              <c:numCache>
                <c:formatCode>General</c:formatCode>
                <c:ptCount val="5"/>
                <c:pt idx="0">
                  <c:v>2.08</c:v>
                </c:pt>
                <c:pt idx="1">
                  <c:v>3.1</c:v>
                </c:pt>
                <c:pt idx="2">
                  <c:v>3.74</c:v>
                </c:pt>
                <c:pt idx="3">
                  <c:v>4.3899999999999997</c:v>
                </c:pt>
                <c:pt idx="4">
                  <c:v>4.84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0C7-4F13-BF58-B88051D2A7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0755472"/>
        <c:axId val="550755800"/>
      </c:lineChart>
      <c:catAx>
        <c:axId val="550755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0755800"/>
        <c:crosses val="autoZero"/>
        <c:auto val="0"/>
        <c:lblAlgn val="ctr"/>
        <c:lblOffset val="100"/>
        <c:noMultiLvlLbl val="0"/>
      </c:catAx>
      <c:valAx>
        <c:axId val="550755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075547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D44-4E5B-83C4-6DF82A9E7EF5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D44-4E5B-83C4-6DF82A9E7EF5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6D44-4E5B-83C4-6DF82A9E7EF5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D44-4E5B-83C4-6DF82A9E7EF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'Quick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'Quick Ratio'!$C$9:$G$9</c:f>
              <c:numCache>
                <c:formatCode>General</c:formatCode>
                <c:ptCount val="5"/>
                <c:pt idx="0">
                  <c:v>1.46</c:v>
                </c:pt>
                <c:pt idx="1">
                  <c:v>2.42</c:v>
                </c:pt>
                <c:pt idx="2">
                  <c:v>3.14</c:v>
                </c:pt>
                <c:pt idx="3">
                  <c:v>3.64</c:v>
                </c:pt>
                <c:pt idx="4">
                  <c:v>4.1399999999999997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D44-4E5B-83C4-6DF82A9E7E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40384"/>
        <c:axId val="548324120"/>
      </c:lineChart>
      <c:catAx>
        <c:axId val="54954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4120"/>
        <c:crosses val="autoZero"/>
        <c:auto val="0"/>
        <c:lblAlgn val="ctr"/>
        <c:lblOffset val="100"/>
        <c:noMultiLvlLbl val="0"/>
      </c:catAx>
      <c:valAx>
        <c:axId val="5483241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5403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FF8-41B9-82D2-3D90E74B9713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FF8-41B9-82D2-3D90E74B9713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FF8-41B9-82D2-3D90E74B971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'Interest Coverage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'Interest Coverage Ratio'!$C$8:$G$8</c:f>
              <c:numCache>
                <c:formatCode>General</c:formatCode>
                <c:ptCount val="5"/>
                <c:pt idx="0">
                  <c:v>35.020000000000003</c:v>
                </c:pt>
                <c:pt idx="1">
                  <c:v>44.26</c:v>
                </c:pt>
                <c:pt idx="2">
                  <c:v>62.23</c:v>
                </c:pt>
                <c:pt idx="3">
                  <c:v>54.82</c:v>
                </c:pt>
                <c:pt idx="4">
                  <c:v>73.5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FF8-41B9-82D2-3D90E74B97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6568"/>
        <c:axId val="553647880"/>
      </c:lineChart>
      <c:catAx>
        <c:axId val="553646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7880"/>
        <c:crosses val="autoZero"/>
        <c:auto val="0"/>
        <c:lblAlgn val="ctr"/>
        <c:lblOffset val="100"/>
        <c:noMultiLvlLbl val="0"/>
      </c:catAx>
      <c:valAx>
        <c:axId val="5536478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65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A11-4573-83D0-5886A439285C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A11-4573-83D0-5886A439285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'Material Consumed'!$C$3:$G$3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'Material Consumed'!$C$8:$G$8</c:f>
              <c:numCache>
                <c:formatCode>General</c:formatCode>
                <c:ptCount val="5"/>
                <c:pt idx="0">
                  <c:v>0.19</c:v>
                </c:pt>
                <c:pt idx="1">
                  <c:v>0.19</c:v>
                </c:pt>
                <c:pt idx="2">
                  <c:v>0.17</c:v>
                </c:pt>
                <c:pt idx="3">
                  <c:v>0.23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A11-4573-83D0-5886A43928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1528872"/>
        <c:axId val="441530512"/>
      </c:lineChart>
      <c:catAx>
        <c:axId val="441528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1530512"/>
        <c:crosses val="autoZero"/>
        <c:auto val="0"/>
        <c:lblAlgn val="ctr"/>
        <c:lblOffset val="100"/>
        <c:noMultiLvlLbl val="0"/>
      </c:catAx>
      <c:valAx>
        <c:axId val="4415305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152887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EBF-481F-A037-490442C43F33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EBF-481F-A037-490442C43F33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EBF-481F-A037-490442C43F3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'Defensive Interval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'Defensive Interval Ratio'!$C$8:$G$8</c:f>
              <c:numCache>
                <c:formatCode>General</c:formatCode>
                <c:ptCount val="5"/>
                <c:pt idx="0">
                  <c:v>36.6</c:v>
                </c:pt>
                <c:pt idx="1">
                  <c:v>744.35</c:v>
                </c:pt>
                <c:pt idx="2">
                  <c:v>1209.8499999999999</c:v>
                </c:pt>
                <c:pt idx="3">
                  <c:v>1173.54</c:v>
                </c:pt>
                <c:pt idx="4">
                  <c:v>1674.6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EBF-481F-A037-490442C43F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8008"/>
        <c:axId val="364045712"/>
      </c:lineChart>
      <c:catAx>
        <c:axId val="364048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5712"/>
        <c:crosses val="autoZero"/>
        <c:auto val="0"/>
        <c:lblAlgn val="ctr"/>
        <c:lblOffset val="100"/>
        <c:noMultiLvlLbl val="0"/>
      </c:catAx>
      <c:valAx>
        <c:axId val="3640457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80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917-4C96-B3A7-2357CC1EEB63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917-4C96-B3A7-2357CC1EEB63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0917-4C96-B3A7-2357CC1EEB63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917-4C96-B3A7-2357CC1EEB6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'Purchases Per Day'!$C$3:$G$3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'Purchases Per Day'!$C$8:$G$8</c:f>
              <c:numCache>
                <c:formatCode>General</c:formatCode>
                <c:ptCount val="5"/>
                <c:pt idx="0">
                  <c:v>263.8</c:v>
                </c:pt>
                <c:pt idx="1">
                  <c:v>5892.4</c:v>
                </c:pt>
                <c:pt idx="2">
                  <c:v>9893.6</c:v>
                </c:pt>
                <c:pt idx="3">
                  <c:v>13811.8</c:v>
                </c:pt>
                <c:pt idx="4">
                  <c:v>19785.099999999999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917-4C96-B3A7-2357CC1EEB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520192"/>
        <c:axId val="446517568"/>
      </c:lineChart>
      <c:catAx>
        <c:axId val="44652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517568"/>
        <c:crosses val="autoZero"/>
        <c:auto val="0"/>
        <c:lblAlgn val="ctr"/>
        <c:lblOffset val="100"/>
        <c:noMultiLvlLbl val="0"/>
      </c:catAx>
      <c:valAx>
        <c:axId val="446517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52019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0C4-4CF4-9F31-F696892003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'Asset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'Asset TurnOver Ratio'!$C$8:$G$8</c:f>
              <c:numCache>
                <c:formatCode>General</c:formatCode>
                <c:ptCount val="5"/>
                <c:pt idx="0">
                  <c:v>0.63</c:v>
                </c:pt>
                <c:pt idx="1">
                  <c:v>0.64</c:v>
                </c:pt>
                <c:pt idx="2">
                  <c:v>0.6</c:v>
                </c:pt>
                <c:pt idx="3">
                  <c:v>0.55000000000000004</c:v>
                </c:pt>
                <c:pt idx="4">
                  <c:v>0.51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0C4-4CF4-9F31-F696892003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7516768"/>
        <c:axId val="547132808"/>
      </c:lineChart>
      <c:catAx>
        <c:axId val="62751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7132808"/>
        <c:crosses val="autoZero"/>
        <c:auto val="0"/>
        <c:lblAlgn val="ctr"/>
        <c:lblOffset val="100"/>
        <c:noMultiLvlLbl val="0"/>
      </c:catAx>
      <c:valAx>
        <c:axId val="5471328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75167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E01-4EFD-87FE-4129394FB337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E01-4EFD-87FE-4129394FB33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TurnOver Ratio'!$C$8:$G$8</c:f>
              <c:numCache>
                <c:formatCode>General</c:formatCode>
                <c:ptCount val="5"/>
                <c:pt idx="0">
                  <c:v>4.88</c:v>
                </c:pt>
                <c:pt idx="1">
                  <c:v>4.58</c:v>
                </c:pt>
                <c:pt idx="2">
                  <c:v>4.9800000000000004</c:v>
                </c:pt>
                <c:pt idx="3">
                  <c:v>4.18</c:v>
                </c:pt>
                <c:pt idx="4">
                  <c:v>4.21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E01-4EFD-87FE-4129394FB3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517896"/>
        <c:axId val="446518880"/>
      </c:lineChart>
      <c:catAx>
        <c:axId val="446517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518880"/>
        <c:crosses val="autoZero"/>
        <c:auto val="0"/>
        <c:lblAlgn val="ctr"/>
        <c:lblOffset val="100"/>
        <c:noMultiLvlLbl val="0"/>
      </c:catAx>
      <c:valAx>
        <c:axId val="4465188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5178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703-467B-9EF7-7288A20588E1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703-467B-9EF7-7288A20588E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'Equity Dividend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'Equity Dividend Per Share'!$C$8:$G$8</c:f>
              <c:numCache>
                <c:formatCode>General</c:formatCode>
                <c:ptCount val="5"/>
                <c:pt idx="0">
                  <c:v>10.15</c:v>
                </c:pt>
                <c:pt idx="1">
                  <c:v>11.32</c:v>
                </c:pt>
                <c:pt idx="2">
                  <c:v>7.76</c:v>
                </c:pt>
                <c:pt idx="3">
                  <c:v>11.41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703-467B-9EF7-7288A20588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0764656"/>
        <c:axId val="550756456"/>
      </c:lineChart>
      <c:catAx>
        <c:axId val="55076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0756456"/>
        <c:crosses val="autoZero"/>
        <c:auto val="0"/>
        <c:lblAlgn val="ctr"/>
        <c:lblOffset val="100"/>
        <c:noMultiLvlLbl val="0"/>
      </c:catAx>
      <c:valAx>
        <c:axId val="5507564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07646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31B-45BB-B6B9-A3B88BC5E93A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31B-45BB-B6B9-A3B88BC5E93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'Debtors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'Debtors TurnOver Ratio'!$C$8:$G$8</c:f>
              <c:numCache>
                <c:formatCode>General</c:formatCode>
                <c:ptCount val="5"/>
                <c:pt idx="0">
                  <c:v>3.5</c:v>
                </c:pt>
                <c:pt idx="1">
                  <c:v>3.86</c:v>
                </c:pt>
                <c:pt idx="2">
                  <c:v>3.47</c:v>
                </c:pt>
                <c:pt idx="3">
                  <c:v>3.82</c:v>
                </c:pt>
                <c:pt idx="4">
                  <c:v>3.21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31B-45BB-B6B9-A3B88BC5E9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161648"/>
        <c:axId val="444160664"/>
      </c:lineChart>
      <c:catAx>
        <c:axId val="444161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4160664"/>
        <c:crosses val="autoZero"/>
        <c:auto val="0"/>
        <c:lblAlgn val="ctr"/>
        <c:lblOffset val="100"/>
        <c:noMultiLvlLbl val="0"/>
      </c:catAx>
      <c:valAx>
        <c:axId val="4441606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41616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529-4D48-9070-A24B51A75793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529-4D48-9070-A24B51A75793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0529-4D48-9070-A24B51A7579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'Fixed Assets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'Fixed Assets TurnOver Ratio'!$C$8:$G$8</c:f>
              <c:numCache>
                <c:formatCode>General</c:formatCode>
                <c:ptCount val="5"/>
                <c:pt idx="0">
                  <c:v>2.86</c:v>
                </c:pt>
                <c:pt idx="1">
                  <c:v>3.13</c:v>
                </c:pt>
                <c:pt idx="2">
                  <c:v>3.65</c:v>
                </c:pt>
                <c:pt idx="3">
                  <c:v>4.01</c:v>
                </c:pt>
                <c:pt idx="4">
                  <c:v>2.42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29-4D48-9070-A24B51A75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9976"/>
        <c:axId val="364044400"/>
      </c:lineChart>
      <c:catAx>
        <c:axId val="364049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4400"/>
        <c:crosses val="autoZero"/>
        <c:auto val="0"/>
        <c:lblAlgn val="ctr"/>
        <c:lblOffset val="100"/>
        <c:noMultiLvlLbl val="0"/>
      </c:catAx>
      <c:valAx>
        <c:axId val="364044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99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47AF-4AFC-86CB-79DCAB1349D1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7AF-4AFC-86CB-79DCAB1349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TurnOver Ratio'!$C$8:$G$8</c:f>
              <c:numCache>
                <c:formatCode>General</c:formatCode>
                <c:ptCount val="5"/>
                <c:pt idx="0">
                  <c:v>0.56000000000000005</c:v>
                </c:pt>
                <c:pt idx="1">
                  <c:v>0.57999999999999996</c:v>
                </c:pt>
                <c:pt idx="2">
                  <c:v>0.51</c:v>
                </c:pt>
                <c:pt idx="3">
                  <c:v>0.72</c:v>
                </c:pt>
                <c:pt idx="4">
                  <c:v>0.59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7AF-4AFC-86CB-79DCAB1349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4161320"/>
        <c:axId val="446519208"/>
      </c:lineChart>
      <c:catAx>
        <c:axId val="444161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519208"/>
        <c:crosses val="autoZero"/>
        <c:auto val="0"/>
        <c:lblAlgn val="ctr"/>
        <c:lblOffset val="100"/>
        <c:noMultiLvlLbl val="0"/>
      </c:catAx>
      <c:valAx>
        <c:axId val="4465192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41613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D9F6-4D67-8CD0-E4D3B2DC8A94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9F6-4D67-8CD0-E4D3B2DC8A9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Days'!$C$8:$G$8</c:f>
              <c:numCache>
                <c:formatCode>General</c:formatCode>
                <c:ptCount val="5"/>
                <c:pt idx="0">
                  <c:v>74.760000000000005</c:v>
                </c:pt>
                <c:pt idx="1">
                  <c:v>79.66</c:v>
                </c:pt>
                <c:pt idx="2">
                  <c:v>73.31</c:v>
                </c:pt>
                <c:pt idx="3">
                  <c:v>87.37</c:v>
                </c:pt>
                <c:pt idx="4">
                  <c:v>86.63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F6-4D67-8CD0-E4D3B2DC8A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1529200"/>
        <c:axId val="441528544"/>
      </c:lineChart>
      <c:catAx>
        <c:axId val="441529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1528544"/>
        <c:crosses val="autoZero"/>
        <c:auto val="0"/>
        <c:lblAlgn val="ctr"/>
        <c:lblOffset val="100"/>
        <c:noMultiLvlLbl val="0"/>
      </c:catAx>
      <c:valAx>
        <c:axId val="4415285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15292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B356-4AF6-A5F8-BB1543C7CBBC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356-4AF6-A5F8-BB1543C7CBB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Days'!$C$8:$G$8</c:f>
              <c:numCache>
                <c:formatCode>General</c:formatCode>
                <c:ptCount val="5"/>
                <c:pt idx="0">
                  <c:v>653.80999999999995</c:v>
                </c:pt>
                <c:pt idx="1">
                  <c:v>629.37</c:v>
                </c:pt>
                <c:pt idx="2">
                  <c:v>714.26</c:v>
                </c:pt>
                <c:pt idx="3">
                  <c:v>509.95</c:v>
                </c:pt>
                <c:pt idx="4">
                  <c:v>613.66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56-4AF6-A5F8-BB1543C7CB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766576"/>
        <c:axId val="364042760"/>
      </c:lineChart>
      <c:catAx>
        <c:axId val="44076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2760"/>
        <c:crosses val="autoZero"/>
        <c:auto val="0"/>
        <c:lblAlgn val="ctr"/>
        <c:lblOffset val="100"/>
        <c:noMultiLvlLbl val="0"/>
      </c:catAx>
      <c:valAx>
        <c:axId val="3640427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07665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F8E-407B-8FE0-86B8F6E9BBBB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F8E-407B-8FE0-86B8F6E9BBB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'Receivable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'Receivable Days'!$C$8:$G$8</c:f>
              <c:numCache>
                <c:formatCode>General</c:formatCode>
                <c:ptCount val="5"/>
                <c:pt idx="0">
                  <c:v>104.15</c:v>
                </c:pt>
                <c:pt idx="1">
                  <c:v>94.59</c:v>
                </c:pt>
                <c:pt idx="2">
                  <c:v>105.11</c:v>
                </c:pt>
                <c:pt idx="3">
                  <c:v>95.5</c:v>
                </c:pt>
                <c:pt idx="4">
                  <c:v>113.67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8E-407B-8FE0-86B8F6E9BB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4728"/>
        <c:axId val="364045384"/>
      </c:lineChart>
      <c:catAx>
        <c:axId val="364044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5384"/>
        <c:crosses val="autoZero"/>
        <c:auto val="0"/>
        <c:lblAlgn val="ctr"/>
        <c:lblOffset val="100"/>
        <c:noMultiLvlLbl val="0"/>
      </c:catAx>
      <c:valAx>
        <c:axId val="364045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47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5219-4D4F-B47A-288009A29ADB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219-4D4F-B47A-288009A29AD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'Operating Cycle'!$C$3:$G$3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'Operating Cycle'!$C$12:$G$12</c:f>
              <c:numCache>
                <c:formatCode>.00</c:formatCode>
                <c:ptCount val="5"/>
                <c:pt idx="0">
                  <c:v>728.57</c:v>
                </c:pt>
                <c:pt idx="1">
                  <c:v>709.03</c:v>
                </c:pt>
                <c:pt idx="2">
                  <c:v>787.57</c:v>
                </c:pt>
                <c:pt idx="3">
                  <c:v>597.32000000000005</c:v>
                </c:pt>
                <c:pt idx="4">
                  <c:v>700.29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219-4D4F-B47A-288009A29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130840"/>
        <c:axId val="547129856"/>
      </c:lineChart>
      <c:catAx>
        <c:axId val="547130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7129856"/>
        <c:crosses val="autoZero"/>
        <c:auto val="0"/>
        <c:lblAlgn val="ctr"/>
        <c:lblOffset val="100"/>
        <c:noMultiLvlLbl val="0"/>
      </c:catAx>
      <c:valAx>
        <c:axId val="5471298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471308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1F88-4EA9-92C9-3D02CD430DAC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F88-4EA9-92C9-3D02CD430DA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'Cash Conversion Cycle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'Cash Conversion Cycle Days'!$C$16:$G$16</c:f>
              <c:numCache>
                <c:formatCode>.00</c:formatCode>
                <c:ptCount val="5"/>
                <c:pt idx="0">
                  <c:v>-74.760000000000005</c:v>
                </c:pt>
                <c:pt idx="1">
                  <c:v>-79.66</c:v>
                </c:pt>
                <c:pt idx="2">
                  <c:v>-73.31</c:v>
                </c:pt>
                <c:pt idx="3">
                  <c:v>-87.37</c:v>
                </c:pt>
                <c:pt idx="4">
                  <c:v>-86.63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F88-4EA9-92C9-3D02CD430D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5560440"/>
        <c:axId val="555559456"/>
      </c:lineChart>
      <c:catAx>
        <c:axId val="555560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559456"/>
        <c:crosses val="autoZero"/>
        <c:auto val="0"/>
        <c:lblAlgn val="ctr"/>
        <c:lblOffset val="100"/>
        <c:noMultiLvlLbl val="0"/>
      </c:catAx>
      <c:valAx>
        <c:axId val="5555594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55604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12571.6</c:v>
                </c:pt>
                <c:pt idx="1">
                  <c:v>15631.5</c:v>
                </c:pt>
                <c:pt idx="2">
                  <c:v>21399.199999999997</c:v>
                </c:pt>
                <c:pt idx="3">
                  <c:v>25272.799999999999</c:v>
                </c:pt>
                <c:pt idx="4">
                  <c:v>31339.1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B4-47AB-AF4C-FD5BA01B2A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2318184"/>
        <c:axId val="452317200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22544.300000000003</c:v>
                </c:pt>
                <c:pt idx="1">
                  <c:v>24073.5</c:v>
                </c:pt>
                <c:pt idx="2">
                  <c:v>29025.699999999997</c:v>
                </c:pt>
                <c:pt idx="3">
                  <c:v>34247.9</c:v>
                </c:pt>
                <c:pt idx="4">
                  <c:v>41873.599999999999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B4-47AB-AF4C-FD5BA01B2A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318184"/>
        <c:axId val="452317200"/>
      </c:lineChart>
      <c:catAx>
        <c:axId val="452318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317200"/>
        <c:crosses val="autoZero"/>
        <c:auto val="1"/>
        <c:lblAlgn val="ctr"/>
        <c:lblOffset val="100"/>
        <c:noMultiLvlLbl val="0"/>
      </c:catAx>
      <c:valAx>
        <c:axId val="4523172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31818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3836.7999999999993</c:v>
                </c:pt>
                <c:pt idx="1">
                  <c:v>5069.6000000000004</c:v>
                </c:pt>
                <c:pt idx="2">
                  <c:v>7280.2999999999993</c:v>
                </c:pt>
                <c:pt idx="3">
                  <c:v>6545.9000000000015</c:v>
                </c:pt>
                <c:pt idx="4">
                  <c:v>8206.1999999999989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03-40FB-94CD-623986C19C71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2759.5999999999995</c:v>
                </c:pt>
                <c:pt idx="1">
                  <c:v>3934.8</c:v>
                </c:pt>
                <c:pt idx="2">
                  <c:v>6117.1999999999989</c:v>
                </c:pt>
                <c:pt idx="3">
                  <c:v>5317.1000000000013</c:v>
                </c:pt>
                <c:pt idx="4">
                  <c:v>7040.9999999999991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A03-40FB-94CD-623986C19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5558472"/>
        <c:axId val="549612184"/>
      </c:barChart>
      <c:catAx>
        <c:axId val="555558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612184"/>
        <c:crosses val="autoZero"/>
        <c:auto val="1"/>
        <c:lblAlgn val="ctr"/>
        <c:lblOffset val="100"/>
        <c:noMultiLvlLbl val="0"/>
      </c:catAx>
      <c:valAx>
        <c:axId val="5496121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55847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F85-4A97-9562-833E7075F178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F85-4A97-9562-833E7075F17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'Book Value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'Book Value  Per Share'!$C$8:$G$8</c:f>
              <c:numCache>
                <c:formatCode>General</c:formatCode>
                <c:ptCount val="5"/>
                <c:pt idx="0">
                  <c:v>319.5</c:v>
                </c:pt>
                <c:pt idx="1">
                  <c:v>533.08000000000004</c:v>
                </c:pt>
                <c:pt idx="2">
                  <c:v>423.87</c:v>
                </c:pt>
                <c:pt idx="3">
                  <c:v>695.44</c:v>
                </c:pt>
                <c:pt idx="4">
                  <c:v>681.92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F85-4A97-9562-833E7075F1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0751208"/>
        <c:axId val="550749568"/>
      </c:lineChart>
      <c:catAx>
        <c:axId val="550751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0749568"/>
        <c:crosses val="autoZero"/>
        <c:auto val="0"/>
        <c:lblAlgn val="ctr"/>
        <c:lblOffset val="100"/>
        <c:noMultiLvlLbl val="0"/>
      </c:catAx>
      <c:valAx>
        <c:axId val="550749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07512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9807.5</c:v>
                </c:pt>
                <c:pt idx="1">
                  <c:v>15423.599999999999</c:v>
                </c:pt>
                <c:pt idx="2">
                  <c:v>21850.399999999998</c:v>
                </c:pt>
                <c:pt idx="3">
                  <c:v>26367.199999999997</c:v>
                </c:pt>
                <c:pt idx="4">
                  <c:v>35082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DC-485B-A424-569750F2C905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4712.6000000000004</c:v>
                </c:pt>
                <c:pt idx="1">
                  <c:v>4982.2</c:v>
                </c:pt>
                <c:pt idx="2">
                  <c:v>5840.9</c:v>
                </c:pt>
                <c:pt idx="3">
                  <c:v>6001.8</c:v>
                </c:pt>
                <c:pt idx="4">
                  <c:v>7250.3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9DC-485B-A424-569750F2C9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6314248"/>
        <c:axId val="626313920"/>
      </c:barChart>
      <c:catAx>
        <c:axId val="626314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313920"/>
        <c:crosses val="autoZero"/>
        <c:auto val="1"/>
        <c:lblAlgn val="ctr"/>
        <c:lblOffset val="100"/>
        <c:noMultiLvlLbl val="0"/>
      </c:catAx>
      <c:valAx>
        <c:axId val="6263139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31424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'Long And Short Term Provisions'!$C$4:$G$4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'Long And Short Term Provisions'!$C$5:$G$5</c:f>
              <c:numCache>
                <c:formatCode>.00</c:formatCode>
                <c:ptCount val="5"/>
                <c:pt idx="0">
                  <c:v>81.7</c:v>
                </c:pt>
                <c:pt idx="1">
                  <c:v>79.3</c:v>
                </c:pt>
                <c:pt idx="2">
                  <c:v>74.5</c:v>
                </c:pt>
                <c:pt idx="3">
                  <c:v>50.8</c:v>
                </c:pt>
                <c:pt idx="4">
                  <c:v>25.8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F66-41DE-9EC5-49361D888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6316216"/>
        <c:axId val="626316544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'Long And Short Term Provisions'!$C$6:$G$6</c:f>
              <c:numCache>
                <c:formatCode>.00</c:formatCode>
                <c:ptCount val="5"/>
                <c:pt idx="0">
                  <c:v>438.7</c:v>
                </c:pt>
                <c:pt idx="1">
                  <c:v>478.9</c:v>
                </c:pt>
                <c:pt idx="2">
                  <c:v>466.9</c:v>
                </c:pt>
                <c:pt idx="3">
                  <c:v>501.5</c:v>
                </c:pt>
                <c:pt idx="4">
                  <c:v>586.6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F66-41DE-9EC5-49361D8889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478424"/>
        <c:axId val="453473832"/>
      </c:lineChart>
      <c:catAx>
        <c:axId val="626316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6316544"/>
        <c:crosses val="autoZero"/>
        <c:auto val="1"/>
        <c:lblAlgn val="ctr"/>
        <c:lblOffset val="100"/>
        <c:noMultiLvlLbl val="0"/>
      </c:catAx>
      <c:valAx>
        <c:axId val="6263165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316216"/>
        <c:crosses val="autoZero"/>
        <c:crossBetween val="between"/>
      </c:valAx>
      <c:valAx>
        <c:axId val="45347383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53478424"/>
        <c:crosses val="max"/>
        <c:crossBetween val="between"/>
      </c:valAx>
      <c:catAx>
        <c:axId val="453478424"/>
        <c:scaling>
          <c:orientation val="minMax"/>
        </c:scaling>
        <c:delete val="1"/>
        <c:axPos val="b"/>
        <c:majorTickMark val="out"/>
        <c:minorTickMark val="none"/>
        <c:tickLblPos val="nextTo"/>
        <c:crossAx val="453473832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2630.9</c:v>
                </c:pt>
                <c:pt idx="1">
                  <c:v>2889.4</c:v>
                </c:pt>
                <c:pt idx="2">
                  <c:v>2984.8</c:v>
                </c:pt>
                <c:pt idx="3">
                  <c:v>4295.8</c:v>
                </c:pt>
                <c:pt idx="4">
                  <c:v>4312.3999999999996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1F0-4303-B571-8FC6F07F6A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508608"/>
        <c:axId val="558505656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1F0-4303-B571-8FC6F07F6A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774216"/>
        <c:axId val="558508280"/>
      </c:lineChart>
      <c:catAx>
        <c:axId val="558508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8505656"/>
        <c:crosses val="autoZero"/>
        <c:auto val="1"/>
        <c:lblAlgn val="ctr"/>
        <c:lblOffset val="100"/>
        <c:noMultiLvlLbl val="0"/>
      </c:catAx>
      <c:valAx>
        <c:axId val="5585056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508608"/>
        <c:crosses val="autoZero"/>
        <c:crossBetween val="between"/>
      </c:valAx>
      <c:valAx>
        <c:axId val="55850828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46774216"/>
        <c:crosses val="max"/>
        <c:crossBetween val="between"/>
      </c:valAx>
      <c:catAx>
        <c:axId val="546774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8508280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Sales In Total Income'!$C$4:$G$4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Sales In Total Income'!$C$5:$G$5</c:f>
              <c:numCache>
                <c:formatCode>.00</c:formatCode>
                <c:ptCount val="5"/>
                <c:pt idx="0">
                  <c:v>14202.8</c:v>
                </c:pt>
                <c:pt idx="1">
                  <c:v>15385.1</c:v>
                </c:pt>
                <c:pt idx="2">
                  <c:v>17460</c:v>
                </c:pt>
                <c:pt idx="3">
                  <c:v>18972.2</c:v>
                </c:pt>
                <c:pt idx="4">
                  <c:v>21439.1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97-41BF-B60A-38E8DBFAA724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'Gross Sales In Total Income'!$C$6:$G$6</c:f>
              <c:numCache>
                <c:formatCode>.00</c:formatCode>
                <c:ptCount val="5"/>
                <c:pt idx="0">
                  <c:v>14358</c:v>
                </c:pt>
                <c:pt idx="1">
                  <c:v>15722.6</c:v>
                </c:pt>
                <c:pt idx="2">
                  <c:v>18080.599999999999</c:v>
                </c:pt>
                <c:pt idx="3">
                  <c:v>19263.600000000002</c:v>
                </c:pt>
                <c:pt idx="4">
                  <c:v>21923.5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C97-41BF-B60A-38E8DBFAA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1078192"/>
        <c:axId val="551076224"/>
      </c:barChart>
      <c:catAx>
        <c:axId val="551078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076224"/>
        <c:crosses val="autoZero"/>
        <c:auto val="1"/>
        <c:lblAlgn val="ctr"/>
        <c:lblOffset val="100"/>
        <c:noMultiLvlLbl val="0"/>
      </c:catAx>
      <c:valAx>
        <c:axId val="5510762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07819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22544.300000000003</c:v>
                </c:pt>
                <c:pt idx="1">
                  <c:v>24073.5</c:v>
                </c:pt>
                <c:pt idx="2">
                  <c:v>29025.699999999997</c:v>
                </c:pt>
                <c:pt idx="3">
                  <c:v>34247.9</c:v>
                </c:pt>
                <c:pt idx="4">
                  <c:v>41873.599999999999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7B-4037-A445-230FD47AF61A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5260.1</c:v>
                </c:pt>
                <c:pt idx="1">
                  <c:v>3459.8</c:v>
                </c:pt>
                <c:pt idx="2">
                  <c:v>1785.6000000000001</c:v>
                </c:pt>
                <c:pt idx="3">
                  <c:v>2973.3</c:v>
                </c:pt>
                <c:pt idx="4">
                  <c:v>3284.2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7B-4037-A445-230FD47AF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5253976"/>
        <c:axId val="555257912"/>
      </c:barChart>
      <c:catAx>
        <c:axId val="555253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257912"/>
        <c:crosses val="autoZero"/>
        <c:auto val="1"/>
        <c:lblAlgn val="ctr"/>
        <c:lblOffset val="100"/>
        <c:noMultiLvlLbl val="0"/>
      </c:catAx>
      <c:valAx>
        <c:axId val="5552579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25397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22544.300000000003</c:v>
                </c:pt>
                <c:pt idx="1">
                  <c:v>24073.5</c:v>
                </c:pt>
                <c:pt idx="2">
                  <c:v>29025.699999999997</c:v>
                </c:pt>
                <c:pt idx="3">
                  <c:v>34247.9</c:v>
                </c:pt>
                <c:pt idx="4">
                  <c:v>41873.599999999999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0E-4643-9B92-B9F1A33955B4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4712.6000000000004</c:v>
                </c:pt>
                <c:pt idx="1">
                  <c:v>4982.2</c:v>
                </c:pt>
                <c:pt idx="2">
                  <c:v>5840.9</c:v>
                </c:pt>
                <c:pt idx="3">
                  <c:v>6001.8</c:v>
                </c:pt>
                <c:pt idx="4">
                  <c:v>7250.3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0E-4643-9B92-B9F1A33955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9375976"/>
        <c:axId val="449380896"/>
      </c:barChart>
      <c:catAx>
        <c:axId val="4493759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380896"/>
        <c:crosses val="autoZero"/>
        <c:auto val="1"/>
        <c:lblAlgn val="ctr"/>
        <c:lblOffset val="100"/>
        <c:noMultiLvlLbl val="0"/>
      </c:catAx>
      <c:valAx>
        <c:axId val="4493808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37597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22544.300000000003</c:v>
                </c:pt>
                <c:pt idx="1">
                  <c:v>24073.5</c:v>
                </c:pt>
                <c:pt idx="2">
                  <c:v>29025.699999999997</c:v>
                </c:pt>
                <c:pt idx="3">
                  <c:v>34247.899999999994</c:v>
                </c:pt>
                <c:pt idx="4">
                  <c:v>41873.599999999999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2E-4095-953F-4E662473FCE3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12736.800000000001</c:v>
                </c:pt>
                <c:pt idx="1">
                  <c:v>8649.9</c:v>
                </c:pt>
                <c:pt idx="2">
                  <c:v>7175.3</c:v>
                </c:pt>
                <c:pt idx="3">
                  <c:v>7880.6999999999989</c:v>
                </c:pt>
                <c:pt idx="4">
                  <c:v>6791.6000000000013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52E-4095-953F-4E662473F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8402472"/>
        <c:axId val="448402800"/>
      </c:barChart>
      <c:catAx>
        <c:axId val="448402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402800"/>
        <c:crosses val="autoZero"/>
        <c:auto val="1"/>
        <c:lblAlgn val="ctr"/>
        <c:lblOffset val="100"/>
        <c:noMultiLvlLbl val="0"/>
      </c:catAx>
      <c:valAx>
        <c:axId val="448402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40247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22544.300000000003</c:v>
                </c:pt>
                <c:pt idx="1">
                  <c:v>24073.5</c:v>
                </c:pt>
                <c:pt idx="2">
                  <c:v>29025.699999999997</c:v>
                </c:pt>
                <c:pt idx="3">
                  <c:v>34247.899999999994</c:v>
                </c:pt>
                <c:pt idx="4">
                  <c:v>41873.599999999999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07-4595-9C34-DDFD9C81DE24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9807.5</c:v>
                </c:pt>
                <c:pt idx="1">
                  <c:v>15423.599999999999</c:v>
                </c:pt>
                <c:pt idx="2">
                  <c:v>21850.399999999998</c:v>
                </c:pt>
                <c:pt idx="3">
                  <c:v>26367.199999999997</c:v>
                </c:pt>
                <c:pt idx="4">
                  <c:v>35082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B07-4595-9C34-DDFD9C81D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0762360"/>
        <c:axId val="550764000"/>
      </c:barChart>
      <c:catAx>
        <c:axId val="550762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0764000"/>
        <c:crosses val="autoZero"/>
        <c:auto val="1"/>
        <c:lblAlgn val="ctr"/>
        <c:lblOffset val="100"/>
        <c:noMultiLvlLbl val="0"/>
      </c:catAx>
      <c:valAx>
        <c:axId val="5507640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076236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10521.2</c:v>
                </c:pt>
                <c:pt idx="1">
                  <c:v>10653</c:v>
                </c:pt>
                <c:pt idx="2">
                  <c:v>10800.3</c:v>
                </c:pt>
                <c:pt idx="3">
                  <c:v>12717.7</c:v>
                </c:pt>
                <c:pt idx="4">
                  <c:v>13717.300000000001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171-45DD-B711-89A273ABCC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785200"/>
        <c:axId val="625786184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14358</c:v>
                </c:pt>
                <c:pt idx="1">
                  <c:v>15722.6</c:v>
                </c:pt>
                <c:pt idx="2">
                  <c:v>18080.599999999999</c:v>
                </c:pt>
                <c:pt idx="3">
                  <c:v>19263.600000000002</c:v>
                </c:pt>
                <c:pt idx="4">
                  <c:v>21923.5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171-45DD-B711-89A273ABCC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5779296"/>
        <c:axId val="625789136"/>
      </c:lineChart>
      <c:catAx>
        <c:axId val="62578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786184"/>
        <c:crosses val="autoZero"/>
        <c:auto val="1"/>
        <c:lblAlgn val="ctr"/>
        <c:lblOffset val="100"/>
        <c:noMultiLvlLbl val="0"/>
      </c:catAx>
      <c:valAx>
        <c:axId val="6257861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785200"/>
        <c:crosses val="autoZero"/>
        <c:crossBetween val="between"/>
      </c:valAx>
      <c:valAx>
        <c:axId val="62578913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25779296"/>
        <c:crosses val="max"/>
        <c:crossBetween val="between"/>
      </c:valAx>
      <c:catAx>
        <c:axId val="625779296"/>
        <c:scaling>
          <c:orientation val="minMax"/>
        </c:scaling>
        <c:delete val="1"/>
        <c:axPos val="b"/>
        <c:majorTickMark val="out"/>
        <c:minorTickMark val="none"/>
        <c:tickLblPos val="nextTo"/>
        <c:crossAx val="625789136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 CF To Balance Sheet'!$C$4:$G$4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 CF To Balance Sheet'!$C$5:$G$5</c:f>
              <c:numCache>
                <c:formatCode>.00</c:formatCode>
                <c:ptCount val="5"/>
                <c:pt idx="0">
                  <c:v>1843.5999999999992</c:v>
                </c:pt>
                <c:pt idx="1">
                  <c:v>3059.9</c:v>
                </c:pt>
                <c:pt idx="2">
                  <c:v>5767.5999999999985</c:v>
                </c:pt>
                <c:pt idx="3">
                  <c:v>3873.5000000000018</c:v>
                </c:pt>
                <c:pt idx="4">
                  <c:v>6066.2999999999993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74-4615-BA29-44E6B60E6B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7057840"/>
        <c:axId val="447057512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'Net Profit CF To Balance Sheet'!$C$6:$G$6</c:f>
              <c:numCache>
                <c:formatCode>.00</c:formatCode>
                <c:ptCount val="5"/>
                <c:pt idx="0">
                  <c:v>2242.7999999999993</c:v>
                </c:pt>
                <c:pt idx="1">
                  <c:v>3460.1</c:v>
                </c:pt>
                <c:pt idx="2">
                  <c:v>6159.1999999999989</c:v>
                </c:pt>
                <c:pt idx="3">
                  <c:v>4288.2000000000016</c:v>
                </c:pt>
                <c:pt idx="4">
                  <c:v>6066.2999999999993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74-4615-BA29-44E6B60E6B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062104"/>
        <c:axId val="447056200"/>
      </c:lineChart>
      <c:catAx>
        <c:axId val="44705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057512"/>
        <c:crosses val="autoZero"/>
        <c:auto val="1"/>
        <c:lblAlgn val="ctr"/>
        <c:lblOffset val="100"/>
        <c:noMultiLvlLbl val="0"/>
      </c:catAx>
      <c:valAx>
        <c:axId val="4470575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057840"/>
        <c:crosses val="autoZero"/>
        <c:crossBetween val="between"/>
      </c:valAx>
      <c:valAx>
        <c:axId val="44705620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47062104"/>
        <c:crosses val="max"/>
        <c:crossBetween val="between"/>
      </c:valAx>
      <c:catAx>
        <c:axId val="447062104"/>
        <c:scaling>
          <c:orientation val="minMax"/>
        </c:scaling>
        <c:delete val="1"/>
        <c:axPos val="b"/>
        <c:majorTickMark val="out"/>
        <c:minorTickMark val="none"/>
        <c:tickLblPos val="nextTo"/>
        <c:crossAx val="447056200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778-4526-BFA6-A3623864A03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Pay Out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Pay Out Ratio'!$C$12:$G$12</c:f>
              <c:numCache>
                <c:formatCode>General</c:formatCode>
                <c:ptCount val="5"/>
                <c:pt idx="0">
                  <c:v>0.18</c:v>
                </c:pt>
                <c:pt idx="1">
                  <c:v>0.1</c:v>
                </c:pt>
                <c:pt idx="2">
                  <c:v>0.06</c:v>
                </c:pt>
                <c:pt idx="3">
                  <c:v>0.1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778-4526-BFA6-A3623864A0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0754816"/>
        <c:axId val="550750552"/>
      </c:lineChart>
      <c:catAx>
        <c:axId val="550754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0750552"/>
        <c:crosses val="autoZero"/>
        <c:auto val="0"/>
        <c:lblAlgn val="ctr"/>
        <c:lblOffset val="100"/>
        <c:noMultiLvlLbl val="0"/>
      </c:catAx>
      <c:valAx>
        <c:axId val="5507505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075481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E27-4BD7-8796-0E9FCC86EB03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E27-4BD7-8796-0E9FCC86EB0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Retention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Retention Ratio'!$C$9:$G$9</c:f>
              <c:numCache>
                <c:formatCode>0.00%</c:formatCode>
                <c:ptCount val="5"/>
                <c:pt idx="0">
                  <c:v>-9.15</c:v>
                </c:pt>
                <c:pt idx="1">
                  <c:v>-10.32</c:v>
                </c:pt>
                <c:pt idx="2">
                  <c:v>-6.76</c:v>
                </c:pt>
                <c:pt idx="3">
                  <c:v>-10.41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E27-4BD7-8796-0E9FCC86EB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7514800"/>
        <c:axId val="627515128"/>
      </c:lineChart>
      <c:catAx>
        <c:axId val="62751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515128"/>
        <c:crosses val="autoZero"/>
        <c:auto val="0"/>
        <c:lblAlgn val="ctr"/>
        <c:lblOffset val="100"/>
        <c:noMultiLvlLbl val="0"/>
      </c:catAx>
      <c:valAx>
        <c:axId val="6275151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6275148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34E-45FE-9AA8-45F0DFAF8E42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34E-45FE-9AA8-45F0DFAF8E42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34E-45FE-9AA8-45F0DFAF8E42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934E-45FE-9AA8-45F0DFAF8E4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Profit'!$C$8:$G$8</c:f>
              <c:numCache>
                <c:formatCode>.00</c:formatCode>
                <c:ptCount val="5"/>
                <c:pt idx="0">
                  <c:v>11571.9</c:v>
                </c:pt>
                <c:pt idx="1">
                  <c:v>12495.7</c:v>
                </c:pt>
                <c:pt idx="2">
                  <c:v>14475.2</c:v>
                </c:pt>
                <c:pt idx="3">
                  <c:v>14676.4</c:v>
                </c:pt>
                <c:pt idx="4">
                  <c:v>17126.7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34E-45FE-9AA8-45F0DFAF8E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5896"/>
        <c:axId val="553815568"/>
      </c:lineChart>
      <c:catAx>
        <c:axId val="553815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5568"/>
        <c:crosses val="autoZero"/>
        <c:auto val="0"/>
        <c:lblAlgn val="ctr"/>
        <c:lblOffset val="100"/>
        <c:noMultiLvlLbl val="0"/>
      </c:catAx>
      <c:valAx>
        <c:axId val="553815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38158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89B-498A-BD51-041AC8F9E69B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89B-498A-BD51-041AC8F9E69B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89B-498A-BD51-041AC8F9E69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Profit'!$C$8:$G$8</c:f>
              <c:numCache>
                <c:formatCode>.00</c:formatCode>
                <c:ptCount val="5"/>
                <c:pt idx="0">
                  <c:v>3681.6</c:v>
                </c:pt>
                <c:pt idx="1">
                  <c:v>4732.1000000000004</c:v>
                </c:pt>
                <c:pt idx="2">
                  <c:v>6659.7</c:v>
                </c:pt>
                <c:pt idx="3">
                  <c:v>6254.5</c:v>
                </c:pt>
                <c:pt idx="4">
                  <c:v>7721.8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89B-498A-BD51-041AC8F9E6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887944"/>
        <c:axId val="451885320"/>
      </c:lineChart>
      <c:catAx>
        <c:axId val="451887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885320"/>
        <c:crosses val="autoZero"/>
        <c:auto val="0"/>
        <c:lblAlgn val="ctr"/>
        <c:lblOffset val="100"/>
        <c:noMultiLvlLbl val="0"/>
      </c:catAx>
      <c:valAx>
        <c:axId val="4518853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518879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2C8-450F-B1B9-AB774470384E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2C8-450F-B1B9-AB774470384E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2C8-450F-B1B9-AB774470384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Assets'!$C$3:$G$3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Assets'!$C$8:$G$8</c:f>
              <c:numCache>
                <c:formatCode>0.00%</c:formatCode>
                <c:ptCount val="5"/>
                <c:pt idx="0">
                  <c:v>0.1</c:v>
                </c:pt>
                <c:pt idx="1">
                  <c:v>0.14000000000000001</c:v>
                </c:pt>
                <c:pt idx="2">
                  <c:v>0.21</c:v>
                </c:pt>
                <c:pt idx="3">
                  <c:v>0.13</c:v>
                </c:pt>
                <c:pt idx="4">
                  <c:v>0.14000000000000001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2C8-450F-B1B9-AB77447038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264040"/>
        <c:axId val="451266992"/>
      </c:lineChart>
      <c:catAx>
        <c:axId val="451264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266992"/>
        <c:crosses val="autoZero"/>
        <c:auto val="0"/>
        <c:lblAlgn val="ctr"/>
        <c:lblOffset val="100"/>
        <c:noMultiLvlLbl val="0"/>
      </c:catAx>
      <c:valAx>
        <c:axId val="4512669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512640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84A-4819-847E-01CDB6017E26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84A-4819-847E-01CDB6017E26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84A-4819-847E-01CDB6017E2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Capital Employeed'!$C$3:$G$3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Capital Employeed'!$C$9:$G$9</c:f>
              <c:numCache>
                <c:formatCode>0.00%</c:formatCode>
                <c:ptCount val="5"/>
                <c:pt idx="0">
                  <c:v>0.26</c:v>
                </c:pt>
                <c:pt idx="1">
                  <c:v>0.56999999999999995</c:v>
                </c:pt>
                <c:pt idx="2">
                  <c:v>1.71</c:v>
                </c:pt>
                <c:pt idx="3">
                  <c:v>0.89</c:v>
                </c:pt>
                <c:pt idx="4">
                  <c:v>1.07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84A-4819-847E-01CDB6017E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6240"/>
        <c:axId val="553646896"/>
      </c:lineChart>
      <c:catAx>
        <c:axId val="55364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6896"/>
        <c:crosses val="autoZero"/>
        <c:auto val="0"/>
        <c:lblAlgn val="ctr"/>
        <c:lblOffset val="100"/>
        <c:noMultiLvlLbl val="0"/>
      </c:catAx>
      <c:valAx>
        <c:axId val="5536468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36462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01BBC4-4D34-5681-23D1-6FF5D68257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E232A6-C059-DBEB-46E3-1A4DECE3E5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EFD3E18-74B4-134A-EACA-8890D53DDB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E9F849C-4E8B-1B52-26F2-E9BAE6E4CB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CC1E9B7-6E48-6DE2-EA56-9D6C004F4A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32ECAE-6CE7-5F1B-0C0D-A6815AEFA3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668A5E-9865-7562-EF02-D936365D34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54DDC8-B8DE-ABE6-3B30-3AFC6E868B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1EB295-19CB-0E9D-1AC5-31E193E525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2DFE18D-B4CE-B55F-94E1-ED32FFAB189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6BAEE5-BC43-E34D-9864-674F28C7E4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093D47-5BBE-84D5-8C1F-C7DE3D6486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28F19B-D849-96CE-9473-18FFA7CA88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166F19-51EA-C473-2682-CA92D6C271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49AE6AB-175E-F384-EE12-369A303EAF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FDA29F-1C46-F1A5-0128-1935B37166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B5B7A7A-D8C4-116E-4A7D-C2B89A6D81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1BD0BA-8B93-3712-DCC7-8005756ECC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38D0DA-DBA8-92A7-A547-4AB38E030A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1C9E15-CB35-1A04-B2AE-46C3E30620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C42CDB93-175B-A06F-9DD7-4EE14BDF04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3668E22B-8F32-ECDA-37E5-A3FE629274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9CD2F0-60F8-BA7B-2752-AF1F16E83A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65E2CF39-2BBF-37DE-580E-ABF0A8F690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19D6AEB2-44FA-7796-68F5-6E77202A97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768CFAA9-B5ED-09D6-9AAC-672F8DE6AF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4D06F911-2849-6C1F-084D-A5E7D8AFFD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873632E3-F732-2517-0C9F-3C76448671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4D06C16E-185B-A5CE-1416-BBC3C8960F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F79A629A-C436-6BE1-0947-CBD9891CB1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3786991D-D308-A9ED-4A09-70908171DD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82D402C9-8241-0114-FE1C-0BB8575EA0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667C47AB-4988-92A9-5C42-9B97A15D77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DDAEDF-9DF0-B842-9F44-69175DEB43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1C5D9C7-1873-67AE-2CBD-29FBE6040E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124807-77B0-9DDB-02BB-6A570CD284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4A2611-5E4C-D78D-4385-5EF146B03C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AEC244-25D1-CF2A-6D82-49BFA1B6A1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CA4300-B6B4-92A4-1C4D-32EF90CAF4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F17B3-14D6-49F7-BF10-757C65D65C80}">
  <dimension ref="A2:H55"/>
  <sheetViews>
    <sheetView topLeftCell="A45" workbookViewId="0">
      <selection activeCell="A55" sqref="A55"/>
    </sheetView>
  </sheetViews>
  <sheetFormatPr defaultRowHeight="15" x14ac:dyDescent="0.25"/>
  <sheetData>
    <row r="2" spans="1:8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3</v>
      </c>
      <c r="H4" t="s">
        <v>1</v>
      </c>
    </row>
    <row r="5" spans="1:8" x14ac:dyDescent="0.25">
      <c r="B5" t="s">
        <v>4</v>
      </c>
      <c r="H5" t="s">
        <v>1</v>
      </c>
    </row>
    <row r="6" spans="1:8" x14ac:dyDescent="0.25">
      <c r="A6" t="s">
        <v>5</v>
      </c>
      <c r="B6" t="s">
        <v>5</v>
      </c>
      <c r="C6">
        <v>83</v>
      </c>
      <c r="D6">
        <v>83</v>
      </c>
      <c r="E6">
        <v>83.1</v>
      </c>
      <c r="F6">
        <v>83.2</v>
      </c>
      <c r="G6">
        <v>83.2</v>
      </c>
      <c r="H6" t="s">
        <v>1</v>
      </c>
    </row>
    <row r="7" spans="1:8" x14ac:dyDescent="0.25">
      <c r="B7" t="s">
        <v>6</v>
      </c>
      <c r="C7">
        <v>83</v>
      </c>
      <c r="D7">
        <v>83</v>
      </c>
      <c r="E7">
        <v>83.1</v>
      </c>
      <c r="F7">
        <v>83.2</v>
      </c>
      <c r="G7">
        <v>83.2</v>
      </c>
      <c r="H7" t="s">
        <v>1</v>
      </c>
    </row>
    <row r="8" spans="1:8" x14ac:dyDescent="0.25">
      <c r="A8" t="s">
        <v>90</v>
      </c>
      <c r="B8" t="s">
        <v>7</v>
      </c>
      <c r="C8" s="2">
        <v>12488.6</v>
      </c>
      <c r="D8" s="2">
        <v>13940.6</v>
      </c>
      <c r="E8" s="2">
        <v>15515.7</v>
      </c>
      <c r="F8" s="2">
        <v>17558.5</v>
      </c>
      <c r="G8" s="2">
        <v>19129.2</v>
      </c>
      <c r="H8" t="s">
        <v>1</v>
      </c>
    </row>
    <row r="9" spans="1:8" x14ac:dyDescent="0.25">
      <c r="B9" t="s">
        <v>8</v>
      </c>
      <c r="C9" s="2">
        <v>12488.6</v>
      </c>
      <c r="D9" s="2">
        <v>13940.6</v>
      </c>
      <c r="E9" s="2">
        <v>15515.7</v>
      </c>
      <c r="F9" s="2">
        <v>17558.5</v>
      </c>
      <c r="G9" s="2">
        <v>19129.2</v>
      </c>
      <c r="H9" t="s">
        <v>1</v>
      </c>
    </row>
    <row r="10" spans="1:8" x14ac:dyDescent="0.25">
      <c r="B10" t="s">
        <v>9</v>
      </c>
      <c r="C10" s="2">
        <v>12571.6</v>
      </c>
      <c r="D10" s="2">
        <v>14023.6</v>
      </c>
      <c r="E10" s="2">
        <v>15598.8</v>
      </c>
      <c r="F10" s="2">
        <v>17641.7</v>
      </c>
      <c r="G10" s="2">
        <v>19212.400000000001</v>
      </c>
      <c r="H10" t="s">
        <v>1</v>
      </c>
    </row>
    <row r="11" spans="1:8" x14ac:dyDescent="0.25">
      <c r="A11" t="s">
        <v>10</v>
      </c>
      <c r="B11" t="s">
        <v>10</v>
      </c>
      <c r="C11">
        <v>0</v>
      </c>
      <c r="D11">
        <v>0</v>
      </c>
      <c r="E11">
        <v>0</v>
      </c>
      <c r="F11">
        <v>0</v>
      </c>
      <c r="G11">
        <v>0</v>
      </c>
      <c r="H11" t="s">
        <v>1</v>
      </c>
    </row>
    <row r="12" spans="1:8" x14ac:dyDescent="0.25">
      <c r="B12" t="s">
        <v>11</v>
      </c>
      <c r="H12" t="s">
        <v>1</v>
      </c>
    </row>
    <row r="13" spans="1:8" x14ac:dyDescent="0.25">
      <c r="A13" t="s">
        <v>91</v>
      </c>
      <c r="B13" t="s">
        <v>12</v>
      </c>
      <c r="C13">
        <v>2508.9</v>
      </c>
      <c r="D13">
        <v>2200</v>
      </c>
      <c r="E13">
        <v>130.4</v>
      </c>
      <c r="F13" s="2">
        <v>629.9</v>
      </c>
      <c r="G13" s="2">
        <v>574.6</v>
      </c>
      <c r="H13" t="s">
        <v>1</v>
      </c>
    </row>
    <row r="14" spans="1:8" x14ac:dyDescent="0.25">
      <c r="A14" t="s">
        <v>91</v>
      </c>
      <c r="B14" t="s">
        <v>13</v>
      </c>
      <c r="C14">
        <v>195</v>
      </c>
      <c r="D14">
        <v>47.3</v>
      </c>
      <c r="E14">
        <v>2</v>
      </c>
      <c r="F14">
        <v>28.9</v>
      </c>
      <c r="G14">
        <v>1.4</v>
      </c>
      <c r="H14" t="s">
        <v>1</v>
      </c>
    </row>
    <row r="15" spans="1:8" x14ac:dyDescent="0.25">
      <c r="A15" t="s">
        <v>92</v>
      </c>
      <c r="B15" t="s">
        <v>14</v>
      </c>
      <c r="C15">
        <v>293.3</v>
      </c>
      <c r="D15">
        <v>218.1</v>
      </c>
      <c r="E15">
        <v>205.5</v>
      </c>
      <c r="F15">
        <v>161.69999999999999</v>
      </c>
      <c r="G15">
        <v>166.9</v>
      </c>
      <c r="H15" t="s">
        <v>1</v>
      </c>
    </row>
    <row r="16" spans="1:8" x14ac:dyDescent="0.25">
      <c r="A16" t="s">
        <v>93</v>
      </c>
      <c r="B16" t="s">
        <v>15</v>
      </c>
      <c r="C16">
        <v>81.7</v>
      </c>
      <c r="D16">
        <v>79.3</v>
      </c>
      <c r="E16">
        <v>74.5</v>
      </c>
      <c r="F16">
        <v>50.8</v>
      </c>
      <c r="G16">
        <v>25.8</v>
      </c>
      <c r="H16" t="s">
        <v>1</v>
      </c>
    </row>
    <row r="17" spans="1:8" x14ac:dyDescent="0.25">
      <c r="B17" t="s">
        <v>16</v>
      </c>
      <c r="C17">
        <v>3078.9</v>
      </c>
      <c r="D17">
        <v>2544.6999999999998</v>
      </c>
      <c r="E17">
        <v>412.4</v>
      </c>
      <c r="F17" s="2">
        <v>871.3</v>
      </c>
      <c r="G17" s="2">
        <v>768.7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 s="2">
        <v>2556.1999999999998</v>
      </c>
      <c r="D19" s="2">
        <v>1212.5</v>
      </c>
      <c r="E19" s="2">
        <v>1653.2</v>
      </c>
      <c r="F19" s="2">
        <v>2314.5</v>
      </c>
      <c r="G19" s="2">
        <v>2708.2</v>
      </c>
      <c r="H19" t="s">
        <v>1</v>
      </c>
    </row>
    <row r="20" spans="1:8" x14ac:dyDescent="0.25">
      <c r="A20" t="s">
        <v>92</v>
      </c>
      <c r="B20" t="s">
        <v>19</v>
      </c>
      <c r="C20" s="2">
        <v>1334.5</v>
      </c>
      <c r="D20" s="2">
        <v>1367.1</v>
      </c>
      <c r="E20" s="2">
        <v>1524.8</v>
      </c>
      <c r="F20" s="2">
        <v>1810.9</v>
      </c>
      <c r="G20" s="2">
        <v>2266.1999999999998</v>
      </c>
      <c r="H20" t="s">
        <v>1</v>
      </c>
    </row>
    <row r="21" spans="1:8" x14ac:dyDescent="0.25">
      <c r="A21" t="s">
        <v>92</v>
      </c>
      <c r="B21" t="s">
        <v>20</v>
      </c>
      <c r="C21" s="2">
        <v>2564.4</v>
      </c>
      <c r="D21" s="2">
        <v>2838.8</v>
      </c>
      <c r="E21" s="2">
        <v>3569.2</v>
      </c>
      <c r="F21" s="2">
        <v>3476.9</v>
      </c>
      <c r="G21" s="2">
        <v>4204.8</v>
      </c>
      <c r="H21" t="s">
        <v>1</v>
      </c>
    </row>
    <row r="22" spans="1:8" x14ac:dyDescent="0.25">
      <c r="A22" t="s">
        <v>93</v>
      </c>
      <c r="B22" t="s">
        <v>21</v>
      </c>
      <c r="C22">
        <v>438.7</v>
      </c>
      <c r="D22">
        <v>478.9</v>
      </c>
      <c r="E22">
        <v>466.9</v>
      </c>
      <c r="F22">
        <v>501.5</v>
      </c>
      <c r="G22">
        <v>586.6</v>
      </c>
      <c r="H22" t="s">
        <v>1</v>
      </c>
    </row>
    <row r="23" spans="1:8" x14ac:dyDescent="0.25">
      <c r="B23" t="s">
        <v>22</v>
      </c>
      <c r="C23" s="2">
        <v>6893.8</v>
      </c>
      <c r="D23" s="2">
        <v>5897.3</v>
      </c>
      <c r="E23" s="2">
        <v>7214.1</v>
      </c>
      <c r="F23" s="2">
        <v>8103.8</v>
      </c>
      <c r="G23" s="2">
        <v>9765.7999999999993</v>
      </c>
      <c r="H23" t="s">
        <v>1</v>
      </c>
    </row>
    <row r="24" spans="1:8" x14ac:dyDescent="0.25">
      <c r="B24" t="s">
        <v>23</v>
      </c>
      <c r="C24" s="2">
        <v>22544.3</v>
      </c>
      <c r="D24" s="2">
        <v>22465.599999999999</v>
      </c>
      <c r="E24" s="2">
        <v>23225.3</v>
      </c>
      <c r="F24" s="2">
        <v>26616.799999999999</v>
      </c>
      <c r="G24" s="2">
        <v>29746.9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4973.3</v>
      </c>
      <c r="D27" s="2">
        <v>4912.7</v>
      </c>
      <c r="E27" s="2">
        <v>4777.8999999999996</v>
      </c>
      <c r="F27" s="2">
        <v>4732.2</v>
      </c>
      <c r="G27" s="2">
        <v>8867.6</v>
      </c>
      <c r="H27" t="s">
        <v>1</v>
      </c>
    </row>
    <row r="28" spans="1:8" x14ac:dyDescent="0.25">
      <c r="A28" t="s">
        <v>29</v>
      </c>
      <c r="B28" t="s">
        <v>27</v>
      </c>
      <c r="C28">
        <v>1461.6</v>
      </c>
      <c r="D28" s="2">
        <v>1812.4</v>
      </c>
      <c r="E28" s="2">
        <v>1581.1</v>
      </c>
      <c r="F28" s="2">
        <v>2913.6</v>
      </c>
      <c r="G28" s="2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767.8</v>
      </c>
      <c r="D29">
        <v>472.5</v>
      </c>
      <c r="E29">
        <v>436.4</v>
      </c>
      <c r="F29">
        <v>953.9</v>
      </c>
      <c r="G29">
        <v>0</v>
      </c>
      <c r="H29" t="s">
        <v>1</v>
      </c>
    </row>
    <row r="30" spans="1:8" x14ac:dyDescent="0.25">
      <c r="B30" t="s">
        <v>29</v>
      </c>
      <c r="C30" s="2">
        <v>9905.4</v>
      </c>
      <c r="D30" s="2">
        <v>9658.6</v>
      </c>
      <c r="E30" s="2">
        <v>7894.1</v>
      </c>
      <c r="F30" s="2">
        <v>9210.9</v>
      </c>
      <c r="G30" s="2">
        <v>8867.6</v>
      </c>
      <c r="H30" t="s">
        <v>1</v>
      </c>
    </row>
    <row r="31" spans="1:8" x14ac:dyDescent="0.25">
      <c r="A31" t="s">
        <v>94</v>
      </c>
      <c r="B31" t="s">
        <v>30</v>
      </c>
      <c r="C31">
        <v>465.3</v>
      </c>
      <c r="D31">
        <v>334.2</v>
      </c>
      <c r="E31">
        <v>309.10000000000002</v>
      </c>
      <c r="F31">
        <v>833.3</v>
      </c>
      <c r="G31">
        <v>598.6</v>
      </c>
      <c r="H31" t="s">
        <v>1</v>
      </c>
    </row>
    <row r="32" spans="1:8" x14ac:dyDescent="0.25">
      <c r="A32" t="s">
        <v>95</v>
      </c>
      <c r="B32" t="s">
        <v>31</v>
      </c>
      <c r="C32" s="2">
        <v>540.5</v>
      </c>
      <c r="D32" s="2">
        <v>431.7</v>
      </c>
      <c r="E32" s="2">
        <v>1219.9000000000001</v>
      </c>
      <c r="F32">
        <v>1068.5999999999999</v>
      </c>
      <c r="G32">
        <v>1277</v>
      </c>
      <c r="H32" t="s">
        <v>1</v>
      </c>
    </row>
    <row r="33" spans="1:8" x14ac:dyDescent="0.25">
      <c r="A33" t="s">
        <v>95</v>
      </c>
      <c r="B33" t="s">
        <v>32</v>
      </c>
      <c r="C33">
        <v>0</v>
      </c>
      <c r="D33">
        <v>0</v>
      </c>
      <c r="E33">
        <v>0</v>
      </c>
      <c r="F33">
        <v>0</v>
      </c>
      <c r="G33">
        <v>0</v>
      </c>
      <c r="H33" t="s">
        <v>1</v>
      </c>
    </row>
    <row r="34" spans="1:8" x14ac:dyDescent="0.25">
      <c r="A34" t="s">
        <v>95</v>
      </c>
      <c r="B34" t="s">
        <v>33</v>
      </c>
      <c r="C34">
        <v>601.6</v>
      </c>
      <c r="D34">
        <v>465.1</v>
      </c>
      <c r="E34">
        <v>711.8</v>
      </c>
      <c r="F34">
        <v>393.8</v>
      </c>
      <c r="G34">
        <v>345.6</v>
      </c>
      <c r="H34" t="s">
        <v>1</v>
      </c>
    </row>
    <row r="35" spans="1:8" x14ac:dyDescent="0.25">
      <c r="B35" t="s">
        <v>34</v>
      </c>
      <c r="C35" s="2">
        <v>12045.9</v>
      </c>
      <c r="D35" s="2">
        <v>11355.5</v>
      </c>
      <c r="E35" s="2">
        <v>10626.2</v>
      </c>
      <c r="F35" s="2">
        <v>12066.5</v>
      </c>
      <c r="G35" s="2">
        <v>11636.1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 s="2">
        <v>1833</v>
      </c>
      <c r="D37" s="2">
        <v>2252.9</v>
      </c>
      <c r="E37" s="2">
        <v>2368.6999999999998</v>
      </c>
      <c r="F37" s="2">
        <v>1974.4</v>
      </c>
      <c r="G37" s="2">
        <v>2017.3</v>
      </c>
      <c r="H37" t="s">
        <v>1</v>
      </c>
    </row>
    <row r="38" spans="1:8" x14ac:dyDescent="0.25">
      <c r="A38" t="s">
        <v>96</v>
      </c>
      <c r="B38" t="s">
        <v>37</v>
      </c>
      <c r="C38" s="2">
        <v>2908.9</v>
      </c>
      <c r="D38" s="2">
        <v>3357.9</v>
      </c>
      <c r="E38" s="2">
        <v>3506.7</v>
      </c>
      <c r="F38" s="2">
        <v>4541.2</v>
      </c>
      <c r="G38" s="2">
        <v>5088.3999999999996</v>
      </c>
      <c r="H38" t="s">
        <v>1</v>
      </c>
    </row>
    <row r="39" spans="1:8" x14ac:dyDescent="0.25">
      <c r="A39" t="s">
        <v>96</v>
      </c>
      <c r="B39" t="s">
        <v>38</v>
      </c>
      <c r="C39" s="2">
        <v>4052.7</v>
      </c>
      <c r="D39" s="2">
        <v>3986.9</v>
      </c>
      <c r="E39" s="2">
        <v>5027.8</v>
      </c>
      <c r="F39" s="2">
        <v>4964.1000000000004</v>
      </c>
      <c r="G39" s="2">
        <v>6676.4</v>
      </c>
      <c r="H39" t="s">
        <v>1</v>
      </c>
    </row>
    <row r="40" spans="1:8" x14ac:dyDescent="0.25">
      <c r="A40" t="s">
        <v>96</v>
      </c>
      <c r="B40" t="s">
        <v>39</v>
      </c>
      <c r="C40" s="2">
        <v>263.8</v>
      </c>
      <c r="D40" s="2">
        <v>222.8</v>
      </c>
      <c r="E40">
        <v>205.3</v>
      </c>
      <c r="F40">
        <v>1482.9</v>
      </c>
      <c r="G40">
        <v>2419.1999999999998</v>
      </c>
      <c r="H40" t="s">
        <v>1</v>
      </c>
    </row>
    <row r="41" spans="1:8" x14ac:dyDescent="0.25">
      <c r="A41" t="s">
        <v>95</v>
      </c>
      <c r="B41" t="s">
        <v>40</v>
      </c>
      <c r="C41">
        <v>0</v>
      </c>
      <c r="D41">
        <v>0</v>
      </c>
      <c r="E41">
        <v>0</v>
      </c>
      <c r="F41">
        <v>0</v>
      </c>
      <c r="G41">
        <v>0</v>
      </c>
      <c r="H41" t="s">
        <v>1</v>
      </c>
    </row>
    <row r="42" spans="1:8" x14ac:dyDescent="0.25">
      <c r="A42" t="s">
        <v>95</v>
      </c>
      <c r="B42" t="s">
        <v>41</v>
      </c>
      <c r="C42" s="2">
        <v>1440</v>
      </c>
      <c r="D42" s="2">
        <v>1289.5999999999999</v>
      </c>
      <c r="E42" s="2">
        <v>1490.6</v>
      </c>
      <c r="F42" s="2">
        <v>1587.7</v>
      </c>
      <c r="G42" s="2">
        <v>1909.5</v>
      </c>
      <c r="H42" t="s">
        <v>1</v>
      </c>
    </row>
    <row r="43" spans="1:8" x14ac:dyDescent="0.25">
      <c r="B43" t="s">
        <v>42</v>
      </c>
      <c r="C43" s="2">
        <v>10498.4</v>
      </c>
      <c r="D43" s="2">
        <v>11110.1</v>
      </c>
      <c r="E43" s="2">
        <v>12599.1</v>
      </c>
      <c r="F43" s="2">
        <v>14550.3</v>
      </c>
      <c r="G43" s="2">
        <v>18110.8</v>
      </c>
      <c r="H43" t="s">
        <v>1</v>
      </c>
    </row>
    <row r="44" spans="1:8" x14ac:dyDescent="0.25">
      <c r="B44" t="s">
        <v>43</v>
      </c>
      <c r="C44" s="2">
        <v>22544.3</v>
      </c>
      <c r="D44" s="2">
        <v>22465.599999999999</v>
      </c>
      <c r="E44" s="2">
        <v>23225.3</v>
      </c>
      <c r="F44" s="2">
        <v>26616.799999999999</v>
      </c>
      <c r="G44" s="2">
        <v>29746.9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871.1</v>
      </c>
      <c r="D47" s="2">
        <v>577.9</v>
      </c>
      <c r="E47" s="2">
        <v>1040.5999999999999</v>
      </c>
      <c r="F47">
        <v>1077.4000000000001</v>
      </c>
      <c r="G47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55.87</v>
      </c>
      <c r="D49">
        <v>55.87</v>
      </c>
      <c r="E49">
        <v>55.87</v>
      </c>
      <c r="F49">
        <v>55.87</v>
      </c>
      <c r="G49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119.4</v>
      </c>
      <c r="D51">
        <v>79.099999999999994</v>
      </c>
      <c r="E51">
        <v>30.3</v>
      </c>
      <c r="F51">
        <v>453.2</v>
      </c>
      <c r="G51">
        <v>0</v>
      </c>
      <c r="H51" t="s">
        <v>1</v>
      </c>
    </row>
    <row r="52" spans="2:8" x14ac:dyDescent="0.25">
      <c r="B52" t="s">
        <v>51</v>
      </c>
      <c r="C52">
        <v>631.79999999999995</v>
      </c>
      <c r="D52" s="2">
        <v>2255.1</v>
      </c>
      <c r="E52" s="2">
        <v>2371.1999999999998</v>
      </c>
      <c r="F52" s="2">
        <v>2017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0</v>
      </c>
      <c r="D54">
        <v>0</v>
      </c>
      <c r="E54">
        <v>0</v>
      </c>
      <c r="F54">
        <v>0</v>
      </c>
      <c r="G54">
        <v>0</v>
      </c>
      <c r="H54" t="s">
        <v>1</v>
      </c>
    </row>
    <row r="55" spans="2:8" x14ac:dyDescent="0.25">
      <c r="B55" t="s">
        <v>54</v>
      </c>
      <c r="C55">
        <v>1336.7</v>
      </c>
      <c r="D55">
        <v>0</v>
      </c>
      <c r="E55">
        <v>0</v>
      </c>
      <c r="F55">
        <v>0</v>
      </c>
      <c r="G55" s="2">
        <v>0</v>
      </c>
      <c r="H55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98636-88E1-4C40-871B-E9BD1FD2874D}">
  <dimension ref="B3:G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151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399.2</v>
      </c>
      <c r="D6" s="16">
        <f>'Income Statement'!D28</f>
        <v>332</v>
      </c>
      <c r="E6" s="16">
        <f>'Income Statement'!E28</f>
        <v>391.6</v>
      </c>
      <c r="F6" s="16">
        <f>'Income Statement'!F28</f>
        <v>414.7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39.347368421052622</v>
      </c>
      <c r="D7" s="16">
        <f>'Income Statement'!D35</f>
        <v>29.322881355932203</v>
      </c>
      <c r="E7" s="16">
        <f>'Income Statement'!E35</f>
        <v>50.485245901639338</v>
      </c>
      <c r="F7" s="16">
        <f>'Income Statement'!F35</f>
        <v>36.340677966101708</v>
      </c>
      <c r="G7" s="16">
        <f>'Income Statement'!G35</f>
        <v>45.956818181818178</v>
      </c>
    </row>
    <row r="8" spans="2:7" ht="18.75" x14ac:dyDescent="0.25">
      <c r="B8" s="15" t="s">
        <v>148</v>
      </c>
      <c r="C8" s="16">
        <f>ROUND(C6/C7, 2)</f>
        <v>10.15</v>
      </c>
      <c r="D8" s="16">
        <f t="shared" ref="D8:G8" si="0">ROUND(D6/D7, 2)</f>
        <v>11.32</v>
      </c>
      <c r="E8" s="16">
        <f t="shared" si="0"/>
        <v>7.76</v>
      </c>
      <c r="F8" s="16">
        <f t="shared" si="0"/>
        <v>11.41</v>
      </c>
      <c r="G8" s="16">
        <f t="shared" si="0"/>
        <v>0</v>
      </c>
    </row>
    <row r="9" spans="2:7" ht="18.75" x14ac:dyDescent="0.25">
      <c r="B9" s="15" t="str">
        <f>'Income Statement'!B27</f>
        <v>Reported Net Profit(PAT)</v>
      </c>
      <c r="C9" s="16">
        <f>'Income Statement'!C27</f>
        <v>2242.7999999999993</v>
      </c>
      <c r="D9" s="16">
        <f>'Income Statement'!D27</f>
        <v>3460.1</v>
      </c>
      <c r="E9" s="16">
        <f>'Income Statement'!E27</f>
        <v>6159.1999999999989</v>
      </c>
      <c r="F9" s="16">
        <f>'Income Statement'!F27</f>
        <v>4288.2000000000016</v>
      </c>
      <c r="G9" s="16">
        <f>'Income Statement'!G27</f>
        <v>6066.2999999999993</v>
      </c>
    </row>
    <row r="10" spans="2:7" ht="18.75" x14ac:dyDescent="0.25">
      <c r="B10" s="15" t="str">
        <f>'Income Statement'!B35</f>
        <v>Total Shares Outstanding(cr)</v>
      </c>
      <c r="C10" s="16">
        <f>'Income Statement'!C35</f>
        <v>39.347368421052622</v>
      </c>
      <c r="D10" s="16">
        <f>'Income Statement'!D35</f>
        <v>29.322881355932203</v>
      </c>
      <c r="E10" s="16">
        <f>'Income Statement'!E35</f>
        <v>50.485245901639338</v>
      </c>
      <c r="F10" s="16">
        <f>'Income Statement'!F35</f>
        <v>36.340677966101708</v>
      </c>
      <c r="G10" s="16">
        <f>'Income Statement'!G35</f>
        <v>45.956818181818178</v>
      </c>
    </row>
    <row r="11" spans="2:7" ht="18.75" x14ac:dyDescent="0.25">
      <c r="B11" s="15" t="s">
        <v>146</v>
      </c>
      <c r="C11" s="16">
        <f>C9/C10</f>
        <v>56.999999999999993</v>
      </c>
      <c r="D11" s="16">
        <f t="shared" ref="D11:G11" si="1">D9/D10</f>
        <v>118</v>
      </c>
      <c r="E11" s="16">
        <f t="shared" si="1"/>
        <v>122</v>
      </c>
      <c r="F11" s="16">
        <f t="shared" si="1"/>
        <v>118</v>
      </c>
      <c r="G11" s="16">
        <f t="shared" si="1"/>
        <v>132</v>
      </c>
    </row>
    <row r="12" spans="2:7" ht="18.75" x14ac:dyDescent="0.25">
      <c r="B12" s="17" t="s">
        <v>152</v>
      </c>
      <c r="C12" s="17">
        <f>ROUND(C8/C11, 2)</f>
        <v>0.18</v>
      </c>
      <c r="D12" s="17">
        <f t="shared" ref="D12:G12" si="2">ROUND(D8/D11, 2)</f>
        <v>0.1</v>
      </c>
      <c r="E12" s="17">
        <f t="shared" si="2"/>
        <v>0.06</v>
      </c>
      <c r="F12" s="17">
        <f t="shared" si="2"/>
        <v>0.1</v>
      </c>
      <c r="G12" s="17">
        <f t="shared" si="2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CEAA24-E25A-4EE6-B1C8-68E18B0E3A57}">
  <dimension ref="B3:G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3" width="13.5703125" bestFit="1" customWidth="1"/>
    <col min="4" max="4" width="15.140625" bestFit="1" customWidth="1"/>
    <col min="5" max="5" width="13.5703125" bestFit="1" customWidth="1"/>
    <col min="6" max="6" width="15.140625" bestFit="1" customWidth="1"/>
    <col min="7" max="7" width="12.42578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153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399.2</v>
      </c>
      <c r="D6" s="16">
        <f>'Income Statement'!D28</f>
        <v>332</v>
      </c>
      <c r="E6" s="16">
        <f>'Income Statement'!E28</f>
        <v>391.6</v>
      </c>
      <c r="F6" s="16">
        <f>'Income Statement'!F28</f>
        <v>414.7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39.347368421052622</v>
      </c>
      <c r="D7" s="16">
        <f>'Income Statement'!D35</f>
        <v>29.322881355932203</v>
      </c>
      <c r="E7" s="16">
        <f>'Income Statement'!E35</f>
        <v>50.485245901639338</v>
      </c>
      <c r="F7" s="16">
        <f>'Income Statement'!F35</f>
        <v>36.340677966101708</v>
      </c>
      <c r="G7" s="16">
        <f>'Income Statement'!G35</f>
        <v>45.956818181818178</v>
      </c>
    </row>
    <row r="8" spans="2:7" ht="18.75" x14ac:dyDescent="0.25">
      <c r="B8" s="15" t="s">
        <v>154</v>
      </c>
      <c r="C8" s="16">
        <f>ROUND(C6/C7, 2)</f>
        <v>10.15</v>
      </c>
      <c r="D8" s="16">
        <f t="shared" ref="D8:G8" si="0">ROUND(D6/D7, 2)</f>
        <v>11.32</v>
      </c>
      <c r="E8" s="16">
        <f t="shared" si="0"/>
        <v>7.76</v>
      </c>
      <c r="F8" s="16">
        <f t="shared" si="0"/>
        <v>11.41</v>
      </c>
      <c r="G8" s="16">
        <f t="shared" si="0"/>
        <v>0</v>
      </c>
    </row>
    <row r="9" spans="2:7" ht="18.75" x14ac:dyDescent="0.25">
      <c r="B9" s="17" t="s">
        <v>155</v>
      </c>
      <c r="C9" s="27">
        <f>1-C8</f>
        <v>-9.15</v>
      </c>
      <c r="D9" s="27">
        <f t="shared" ref="D9:G9" si="1">1-D8</f>
        <v>-10.32</v>
      </c>
      <c r="E9" s="27">
        <f t="shared" si="1"/>
        <v>-6.76</v>
      </c>
      <c r="F9" s="27">
        <f t="shared" si="1"/>
        <v>-10.41</v>
      </c>
      <c r="G9" s="27">
        <f t="shared" si="1"/>
        <v>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E4314-B38F-4F14-8842-CF430A518D5E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156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14202.8</v>
      </c>
      <c r="D6" s="16">
        <f>'Income Statement'!D5</f>
        <v>15385.1</v>
      </c>
      <c r="E6" s="16">
        <f>'Income Statement'!E5</f>
        <v>17460</v>
      </c>
      <c r="F6" s="16">
        <f>'Income Statement'!F5</f>
        <v>18972.2</v>
      </c>
      <c r="G6" s="16">
        <f>'Income Statement'!G5</f>
        <v>21439.1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2630.9</v>
      </c>
      <c r="D7" s="16">
        <f>'Income Statement'!D11</f>
        <v>2889.4</v>
      </c>
      <c r="E7" s="16">
        <f>'Income Statement'!E11</f>
        <v>2984.8</v>
      </c>
      <c r="F7" s="16">
        <f>'Income Statement'!F11</f>
        <v>4295.8</v>
      </c>
      <c r="G7" s="16">
        <f>'Income Statement'!G11</f>
        <v>4312.3999999999996</v>
      </c>
    </row>
    <row r="8" spans="2:7" ht="18.75" x14ac:dyDescent="0.25">
      <c r="B8" s="17" t="s">
        <v>157</v>
      </c>
      <c r="C8" s="28">
        <f>ROUND(C6- C7, 2)</f>
        <v>11571.9</v>
      </c>
      <c r="D8" s="28">
        <f t="shared" ref="D8:G8" si="0">ROUND(D6- D7, 2)</f>
        <v>12495.7</v>
      </c>
      <c r="E8" s="28">
        <f t="shared" si="0"/>
        <v>14475.2</v>
      </c>
      <c r="F8" s="28">
        <f t="shared" si="0"/>
        <v>14676.4</v>
      </c>
      <c r="G8" s="28">
        <f t="shared" si="0"/>
        <v>17126.7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2B616-6243-4B2D-BBDA-F7AC5F0C1774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158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14202.8</v>
      </c>
      <c r="D6" s="16">
        <f>'Income Statement'!D5</f>
        <v>15385.1</v>
      </c>
      <c r="E6" s="16">
        <f>'Income Statement'!E5</f>
        <v>17460</v>
      </c>
      <c r="F6" s="16">
        <f>'Income Statement'!F5</f>
        <v>18972.2</v>
      </c>
      <c r="G6" s="16">
        <f>'Income Statement'!G5</f>
        <v>21439.1</v>
      </c>
    </row>
    <row r="7" spans="2:7" ht="18.75" x14ac:dyDescent="0.25">
      <c r="B7" s="15" t="str">
        <f>'Income Statement'!B15</f>
        <v>Total Expenditure</v>
      </c>
      <c r="C7" s="16">
        <f>'Income Statement'!C15</f>
        <v>10521.2</v>
      </c>
      <c r="D7" s="16">
        <f>'Income Statement'!D15</f>
        <v>10653</v>
      </c>
      <c r="E7" s="16">
        <f>'Income Statement'!E15</f>
        <v>10800.3</v>
      </c>
      <c r="F7" s="16">
        <f>'Income Statement'!F15</f>
        <v>12717.7</v>
      </c>
      <c r="G7" s="16">
        <f>'Income Statement'!G15</f>
        <v>13717.300000000001</v>
      </c>
    </row>
    <row r="8" spans="2:7" ht="18.75" x14ac:dyDescent="0.25">
      <c r="B8" s="17" t="s">
        <v>159</v>
      </c>
      <c r="C8" s="28">
        <f>ROUND(C6- C7, 2)</f>
        <v>3681.6</v>
      </c>
      <c r="D8" s="28">
        <f t="shared" ref="D8:G8" si="0">ROUND(D6- D7, 2)</f>
        <v>4732.1000000000004</v>
      </c>
      <c r="E8" s="28">
        <f t="shared" si="0"/>
        <v>6659.7</v>
      </c>
      <c r="F8" s="28">
        <f t="shared" si="0"/>
        <v>6254.5</v>
      </c>
      <c r="G8" s="28">
        <f t="shared" si="0"/>
        <v>7721.8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607E06-42D8-4B05-B928-39AEA5E2253F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160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2242.7999999999993</v>
      </c>
      <c r="D6" s="16">
        <f>'Income Statement'!D27</f>
        <v>3460.1</v>
      </c>
      <c r="E6" s="16">
        <f>'Income Statement'!E27</f>
        <v>6159.1999999999989</v>
      </c>
      <c r="F6" s="16">
        <f>'Income Statement'!F27</f>
        <v>4288.2000000000016</v>
      </c>
      <c r="G6" s="16">
        <f>'Income Statement'!G27</f>
        <v>6066.2999999999993</v>
      </c>
    </row>
    <row r="7" spans="2:7" ht="18.75" x14ac:dyDescent="0.25">
      <c r="B7" s="15" t="str">
        <f>'Balance Sheet'!B40</f>
        <v>Total Assets</v>
      </c>
      <c r="C7" s="16">
        <f>'Balance Sheet'!C40</f>
        <v>22544.300000000003</v>
      </c>
      <c r="D7" s="16">
        <f>'Balance Sheet'!D40</f>
        <v>24073.5</v>
      </c>
      <c r="E7" s="16">
        <f>'Balance Sheet'!E40</f>
        <v>29025.699999999997</v>
      </c>
      <c r="F7" s="16">
        <f>'Balance Sheet'!F40</f>
        <v>34247.899999999994</v>
      </c>
      <c r="G7" s="16">
        <f>'Balance Sheet'!G40</f>
        <v>41873.599999999999</v>
      </c>
    </row>
    <row r="8" spans="2:7" ht="18.75" x14ac:dyDescent="0.25">
      <c r="B8" s="17" t="s">
        <v>161</v>
      </c>
      <c r="C8" s="27">
        <f>ROUND(C6/ C7, 2)</f>
        <v>0.1</v>
      </c>
      <c r="D8" s="27">
        <f t="shared" ref="D8:G8" si="0">ROUND(D6/ D7, 2)</f>
        <v>0.14000000000000001</v>
      </c>
      <c r="E8" s="27">
        <f t="shared" si="0"/>
        <v>0.21</v>
      </c>
      <c r="F8" s="27">
        <f t="shared" si="0"/>
        <v>0.13</v>
      </c>
      <c r="G8" s="27">
        <f t="shared" si="0"/>
        <v>0.14000000000000001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F8243-64DE-4AB8-B15C-876D03AD250D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2759.5999999999995</v>
      </c>
      <c r="D6" s="16">
        <f>'Income Statement'!D19</f>
        <v>3934.8</v>
      </c>
      <c r="E6" s="16">
        <f>'Income Statement'!E19</f>
        <v>6117.1999999999989</v>
      </c>
      <c r="F6" s="16">
        <f>'Income Statement'!F19</f>
        <v>5317.1000000000013</v>
      </c>
      <c r="G6" s="16">
        <f>'Income Statement'!G19</f>
        <v>7040.9999999999991</v>
      </c>
    </row>
    <row r="7" spans="2:7" ht="18.75" x14ac:dyDescent="0.25">
      <c r="B7" s="15" t="str">
        <f>'Balance Sheet'!B13</f>
        <v>Total Debt</v>
      </c>
      <c r="C7" s="16">
        <f>'Balance Sheet'!C13</f>
        <v>5260.1</v>
      </c>
      <c r="D7" s="16">
        <f>'Balance Sheet'!D13</f>
        <v>3459.8</v>
      </c>
      <c r="E7" s="16">
        <f>'Balance Sheet'!E13</f>
        <v>1785.6000000000001</v>
      </c>
      <c r="F7" s="16">
        <f>'Balance Sheet'!F13</f>
        <v>2973.3</v>
      </c>
      <c r="G7" s="16">
        <f>'Balance Sheet'!G13</f>
        <v>3284.2</v>
      </c>
    </row>
    <row r="8" spans="2:7" ht="18.75" x14ac:dyDescent="0.25">
      <c r="B8" s="15" t="str">
        <f>'Balance Sheet'!B9</f>
        <v>Net Worth</v>
      </c>
      <c r="C8" s="16">
        <f>'Balance Sheet'!C9</f>
        <v>12571.6</v>
      </c>
      <c r="D8" s="16">
        <f>'Balance Sheet'!D9</f>
        <v>15631.5</v>
      </c>
      <c r="E8" s="16">
        <f>'Balance Sheet'!E9</f>
        <v>21399.199999999997</v>
      </c>
      <c r="F8" s="16">
        <f>'Balance Sheet'!F9</f>
        <v>25272.799999999999</v>
      </c>
      <c r="G8" s="16">
        <f>'Balance Sheet'!G9</f>
        <v>31339.1</v>
      </c>
    </row>
    <row r="9" spans="2:7" ht="18.75" x14ac:dyDescent="0.25">
      <c r="B9" s="17" t="s">
        <v>163</v>
      </c>
      <c r="C9" s="27">
        <f>ROUND(C6/ (C7+ C7), 2)</f>
        <v>0.26</v>
      </c>
      <c r="D9" s="27">
        <f t="shared" ref="D9:G9" si="0">ROUND(D6/ (D7+ D7), 2)</f>
        <v>0.56999999999999995</v>
      </c>
      <c r="E9" s="27">
        <f t="shared" si="0"/>
        <v>1.71</v>
      </c>
      <c r="F9" s="27">
        <f t="shared" si="0"/>
        <v>0.89</v>
      </c>
      <c r="G9" s="27">
        <f t="shared" si="0"/>
        <v>1.07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9FF00-FDEE-4168-97BE-C69E079C68D4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164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2242.7999999999993</v>
      </c>
      <c r="D6" s="16">
        <f>'Income Statement'!D27</f>
        <v>3460.1</v>
      </c>
      <c r="E6" s="16">
        <f>'Income Statement'!E27</f>
        <v>6159.1999999999989</v>
      </c>
      <c r="F6" s="16">
        <f>'Income Statement'!F27</f>
        <v>4288.2000000000016</v>
      </c>
      <c r="G6" s="16">
        <f>'Income Statement'!G27</f>
        <v>6066.2999999999993</v>
      </c>
    </row>
    <row r="7" spans="2:7" ht="18.75" x14ac:dyDescent="0.25">
      <c r="B7" s="15" t="str">
        <f>'Balance Sheet'!B9</f>
        <v>Net Worth</v>
      </c>
      <c r="C7" s="16">
        <f>'Balance Sheet'!C9</f>
        <v>12571.6</v>
      </c>
      <c r="D7" s="16">
        <f>'Balance Sheet'!D9</f>
        <v>15631.5</v>
      </c>
      <c r="E7" s="16">
        <f>'Balance Sheet'!E9</f>
        <v>21399.199999999997</v>
      </c>
      <c r="F7" s="16">
        <f>'Balance Sheet'!F9</f>
        <v>25272.799999999999</v>
      </c>
      <c r="G7" s="16">
        <f>'Balance Sheet'!G9</f>
        <v>31339.1</v>
      </c>
    </row>
    <row r="8" spans="2:7" ht="18.75" x14ac:dyDescent="0.25">
      <c r="B8" s="17" t="s">
        <v>165</v>
      </c>
      <c r="C8" s="27">
        <f>ROUND(C6/ (C7+ C7), 2)</f>
        <v>0.09</v>
      </c>
      <c r="D8" s="27">
        <f t="shared" ref="D8:G8" si="0">ROUND(D6/ (D7+ D7), 2)</f>
        <v>0.11</v>
      </c>
      <c r="E8" s="27">
        <f t="shared" si="0"/>
        <v>0.14000000000000001</v>
      </c>
      <c r="F8" s="27">
        <f t="shared" si="0"/>
        <v>0.08</v>
      </c>
      <c r="G8" s="27">
        <f t="shared" si="0"/>
        <v>0.1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79F03-9F4A-4611-9690-150CEEF2C091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166</v>
      </c>
      <c r="C5" s="14"/>
      <c r="D5" s="14"/>
      <c r="E5" s="14"/>
      <c r="F5" s="14"/>
      <c r="G5" s="14"/>
    </row>
    <row r="6" spans="2:7" ht="18.75" x14ac:dyDescent="0.25">
      <c r="B6" s="15" t="str">
        <f>'Balance Sheet'!B13</f>
        <v>Total Debt</v>
      </c>
      <c r="C6" s="16">
        <f>'Balance Sheet'!C13</f>
        <v>5260.1</v>
      </c>
      <c r="D6" s="16">
        <f>'Balance Sheet'!D13</f>
        <v>3459.8</v>
      </c>
      <c r="E6" s="16">
        <f>'Balance Sheet'!E13</f>
        <v>1785.6000000000001</v>
      </c>
      <c r="F6" s="16">
        <f>'Balance Sheet'!F13</f>
        <v>2973.3</v>
      </c>
      <c r="G6" s="16">
        <f>'Balance Sheet'!G13</f>
        <v>3284.2</v>
      </c>
    </row>
    <row r="7" spans="2:7" ht="18.75" x14ac:dyDescent="0.25">
      <c r="B7" s="15" t="str">
        <f>'Balance Sheet'!B9</f>
        <v>Net Worth</v>
      </c>
      <c r="C7" s="16">
        <f>'Balance Sheet'!C9</f>
        <v>12571.6</v>
      </c>
      <c r="D7" s="16">
        <f>'Balance Sheet'!D9</f>
        <v>15631.5</v>
      </c>
      <c r="E7" s="16">
        <f>'Balance Sheet'!E9</f>
        <v>21399.199999999997</v>
      </c>
      <c r="F7" s="16">
        <f>'Balance Sheet'!F9</f>
        <v>25272.799999999999</v>
      </c>
      <c r="G7" s="16">
        <f>'Balance Sheet'!G9</f>
        <v>31339.1</v>
      </c>
    </row>
    <row r="8" spans="2:7" ht="18.75" x14ac:dyDescent="0.25">
      <c r="B8" s="17" t="s">
        <v>167</v>
      </c>
      <c r="C8" s="17">
        <f>ROUND(C6/ C7, 2)</f>
        <v>0.42</v>
      </c>
      <c r="D8" s="17">
        <f t="shared" ref="D8:G8" si="0">ROUND(D6/ D7, 2)</f>
        <v>0.22</v>
      </c>
      <c r="E8" s="17">
        <f t="shared" si="0"/>
        <v>0.08</v>
      </c>
      <c r="F8" s="17">
        <f t="shared" si="0"/>
        <v>0.12</v>
      </c>
      <c r="G8" s="17">
        <f t="shared" si="0"/>
        <v>0.1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E98AA-3404-43CD-8F8D-F788455B9FFE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3" width="11.5703125" bestFit="1" customWidth="1"/>
    <col min="4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168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9807.5</v>
      </c>
      <c r="D6" s="16">
        <f>'Balance Sheet'!D39</f>
        <v>15423.599999999999</v>
      </c>
      <c r="E6" s="16">
        <f>'Balance Sheet'!E39</f>
        <v>21850.399999999998</v>
      </c>
      <c r="F6" s="16">
        <f>'Balance Sheet'!F39</f>
        <v>26367.199999999997</v>
      </c>
      <c r="G6" s="16">
        <f>'Balance Sheet'!G39</f>
        <v>35082</v>
      </c>
    </row>
    <row r="7" spans="2:7" ht="18.75" x14ac:dyDescent="0.25">
      <c r="B7" s="15" t="str">
        <f>'Balance Sheet'!B19</f>
        <v>Total Current Liabilities</v>
      </c>
      <c r="C7" s="16">
        <f>'Balance Sheet'!C19</f>
        <v>4712.6000000000004</v>
      </c>
      <c r="D7" s="16">
        <f>'Balance Sheet'!D19</f>
        <v>4982.2</v>
      </c>
      <c r="E7" s="16">
        <f>'Balance Sheet'!E19</f>
        <v>5840.9</v>
      </c>
      <c r="F7" s="16">
        <f>'Balance Sheet'!F19</f>
        <v>6001.8</v>
      </c>
      <c r="G7" s="16">
        <f>'Balance Sheet'!G19</f>
        <v>7250.3</v>
      </c>
    </row>
    <row r="8" spans="2:7" ht="18.75" x14ac:dyDescent="0.25">
      <c r="B8" s="17" t="s">
        <v>169</v>
      </c>
      <c r="C8" s="17">
        <f>ROUND(C6/ C7, 2)</f>
        <v>2.08</v>
      </c>
      <c r="D8" s="17">
        <f t="shared" ref="D8:G8" si="0">ROUND(D6/ D7, 2)</f>
        <v>3.1</v>
      </c>
      <c r="E8" s="17">
        <f t="shared" si="0"/>
        <v>3.74</v>
      </c>
      <c r="F8" s="17">
        <f t="shared" si="0"/>
        <v>4.3899999999999997</v>
      </c>
      <c r="G8" s="17">
        <f t="shared" si="0"/>
        <v>4.84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7B93B-3850-4743-A7C0-06258FC433C3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3" width="11.5703125" bestFit="1" customWidth="1"/>
    <col min="4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170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9807.5</v>
      </c>
      <c r="D6" s="16">
        <f>'Balance Sheet'!D39</f>
        <v>15423.599999999999</v>
      </c>
      <c r="E6" s="16">
        <f>'Balance Sheet'!E39</f>
        <v>21850.399999999998</v>
      </c>
      <c r="F6" s="16">
        <f>'Balance Sheet'!F39</f>
        <v>26367.199999999997</v>
      </c>
      <c r="G6" s="16">
        <f>'Balance Sheet'!G39</f>
        <v>35082</v>
      </c>
    </row>
    <row r="7" spans="2:7" ht="18.75" x14ac:dyDescent="0.25">
      <c r="B7" s="15" t="str">
        <f>'Balance Sheet'!B36</f>
        <v>Inventories</v>
      </c>
      <c r="C7" s="16">
        <f>'Balance Sheet'!C36</f>
        <v>2908.9</v>
      </c>
      <c r="D7" s="16">
        <f>'Balance Sheet'!D36</f>
        <v>3357.9</v>
      </c>
      <c r="E7" s="16">
        <f>'Balance Sheet'!E36</f>
        <v>3506.7</v>
      </c>
      <c r="F7" s="16">
        <f>'Balance Sheet'!F36</f>
        <v>4541.2</v>
      </c>
      <c r="G7" s="16">
        <f>'Balance Sheet'!G36</f>
        <v>5088.3999999999996</v>
      </c>
    </row>
    <row r="8" spans="2:7" ht="18.75" x14ac:dyDescent="0.25">
      <c r="B8" s="15" t="str">
        <f>'Balance Sheet'!B19</f>
        <v>Total Current Liabilities</v>
      </c>
      <c r="C8" s="16">
        <f>'Balance Sheet'!C19</f>
        <v>4712.6000000000004</v>
      </c>
      <c r="D8" s="16">
        <f>'Balance Sheet'!D19</f>
        <v>4982.2</v>
      </c>
      <c r="E8" s="16">
        <f>'Balance Sheet'!E19</f>
        <v>5840.9</v>
      </c>
      <c r="F8" s="16">
        <f>'Balance Sheet'!F19</f>
        <v>6001.8</v>
      </c>
      <c r="G8" s="16">
        <f>'Balance Sheet'!G19</f>
        <v>7250.3</v>
      </c>
    </row>
    <row r="9" spans="2:7" ht="18.75" x14ac:dyDescent="0.25">
      <c r="B9" s="17" t="s">
        <v>171</v>
      </c>
      <c r="C9" s="17">
        <f>ROUND((C6-C7)/ C8, 2)</f>
        <v>1.46</v>
      </c>
      <c r="D9" s="17">
        <f t="shared" ref="D9:G9" si="0">ROUND((D6-D7)/ D8, 2)</f>
        <v>2.42</v>
      </c>
      <c r="E9" s="17">
        <f t="shared" si="0"/>
        <v>3.14</v>
      </c>
      <c r="F9" s="17">
        <f t="shared" si="0"/>
        <v>3.64</v>
      </c>
      <c r="G9" s="17">
        <f t="shared" si="0"/>
        <v>4.1399999999999997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D47DC-3EB3-4E44-9D4B-2B748F2A8672}">
  <dimension ref="A2:H41"/>
  <sheetViews>
    <sheetView topLeftCell="A23" workbookViewId="0">
      <selection activeCell="A41" sqref="A41"/>
    </sheetView>
  </sheetViews>
  <sheetFormatPr defaultRowHeight="15" x14ac:dyDescent="0.25"/>
  <sheetData>
    <row r="2" spans="1:8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56</v>
      </c>
      <c r="H4" t="s">
        <v>1</v>
      </c>
    </row>
    <row r="5" spans="1:8" x14ac:dyDescent="0.25">
      <c r="A5" t="s">
        <v>97</v>
      </c>
      <c r="B5" t="s">
        <v>97</v>
      </c>
      <c r="C5" s="2">
        <v>14202.8</v>
      </c>
      <c r="D5" s="2">
        <v>15385.1</v>
      </c>
      <c r="E5" s="2">
        <v>17460</v>
      </c>
      <c r="F5" s="2">
        <v>18972.2</v>
      </c>
      <c r="G5" s="2">
        <v>21439.1</v>
      </c>
      <c r="H5" t="s">
        <v>1</v>
      </c>
    </row>
    <row r="6" spans="1:8" x14ac:dyDescent="0.25">
      <c r="A6" t="s">
        <v>98</v>
      </c>
      <c r="B6" t="s">
        <v>98</v>
      </c>
      <c r="C6">
        <v>0</v>
      </c>
      <c r="D6">
        <v>0</v>
      </c>
      <c r="E6">
        <v>0</v>
      </c>
      <c r="F6">
        <v>0</v>
      </c>
      <c r="G6">
        <v>0</v>
      </c>
      <c r="H6" t="s">
        <v>1</v>
      </c>
    </row>
    <row r="7" spans="1:8" x14ac:dyDescent="0.25">
      <c r="B7" t="s">
        <v>57</v>
      </c>
      <c r="C7" s="2">
        <v>14202.8</v>
      </c>
      <c r="D7" s="2">
        <v>15385.1</v>
      </c>
      <c r="E7" s="2">
        <v>17460</v>
      </c>
      <c r="F7" s="2">
        <v>18972.2</v>
      </c>
      <c r="G7" s="2">
        <v>21439.1</v>
      </c>
      <c r="H7" t="s">
        <v>1</v>
      </c>
    </row>
    <row r="8" spans="1:8" x14ac:dyDescent="0.25">
      <c r="B8" t="s">
        <v>58</v>
      </c>
      <c r="C8" s="2">
        <v>14281</v>
      </c>
      <c r="D8" s="2">
        <v>15448.2</v>
      </c>
      <c r="E8" s="2">
        <v>17517</v>
      </c>
      <c r="F8" s="2">
        <v>19047.5</v>
      </c>
      <c r="G8" s="2">
        <v>21545.200000000001</v>
      </c>
      <c r="H8" t="s">
        <v>1</v>
      </c>
    </row>
    <row r="9" spans="1:8" x14ac:dyDescent="0.25">
      <c r="A9" t="s">
        <v>59</v>
      </c>
      <c r="B9" t="s">
        <v>59</v>
      </c>
      <c r="C9">
        <v>155.19999999999999</v>
      </c>
      <c r="D9">
        <v>337.5</v>
      </c>
      <c r="E9">
        <v>620.6</v>
      </c>
      <c r="F9">
        <v>291.39999999999998</v>
      </c>
      <c r="G9">
        <v>484.4</v>
      </c>
      <c r="H9" t="s">
        <v>1</v>
      </c>
    </row>
    <row r="10" spans="1:8" x14ac:dyDescent="0.25">
      <c r="B10" t="s">
        <v>60</v>
      </c>
      <c r="C10" s="2">
        <v>14436.2</v>
      </c>
      <c r="D10" s="2">
        <v>15785.7</v>
      </c>
      <c r="E10" s="2">
        <v>18137.599999999999</v>
      </c>
      <c r="F10" s="2">
        <v>19338.900000000001</v>
      </c>
      <c r="G10" s="2">
        <v>22029.599999999999</v>
      </c>
      <c r="H10" t="s">
        <v>1</v>
      </c>
    </row>
    <row r="11" spans="1:8" x14ac:dyDescent="0.25">
      <c r="B11" t="s">
        <v>61</v>
      </c>
      <c r="H11" t="s">
        <v>1</v>
      </c>
    </row>
    <row r="12" spans="1:8" x14ac:dyDescent="0.25">
      <c r="A12" t="s">
        <v>99</v>
      </c>
      <c r="B12" t="s">
        <v>62</v>
      </c>
      <c r="C12" s="2">
        <v>2630.9</v>
      </c>
      <c r="D12" s="2">
        <v>2889.4</v>
      </c>
      <c r="E12" s="2">
        <v>2984.8</v>
      </c>
      <c r="F12" s="2">
        <v>4295.8</v>
      </c>
      <c r="G12" s="2">
        <v>4312.3999999999996</v>
      </c>
      <c r="H12" t="s">
        <v>1</v>
      </c>
    </row>
    <row r="13" spans="1:8" x14ac:dyDescent="0.25">
      <c r="B13" t="s">
        <v>63</v>
      </c>
      <c r="C13" s="2">
        <v>1450.1</v>
      </c>
      <c r="D13" s="2">
        <v>1880.8</v>
      </c>
      <c r="E13" s="2">
        <v>2545.9</v>
      </c>
      <c r="F13" s="2">
        <v>2573.6</v>
      </c>
      <c r="G13" s="2">
        <v>3483.7</v>
      </c>
      <c r="H13" t="s">
        <v>1</v>
      </c>
    </row>
    <row r="14" spans="1:8" x14ac:dyDescent="0.25">
      <c r="A14" t="s">
        <v>99</v>
      </c>
      <c r="B14" t="s">
        <v>64</v>
      </c>
      <c r="C14">
        <v>0</v>
      </c>
      <c r="D14">
        <v>0</v>
      </c>
      <c r="E14">
        <v>0</v>
      </c>
      <c r="F14">
        <v>0</v>
      </c>
      <c r="G14">
        <v>0</v>
      </c>
      <c r="H14" t="s">
        <v>1</v>
      </c>
    </row>
    <row r="15" spans="1:8" x14ac:dyDescent="0.25">
      <c r="B15" t="s">
        <v>65</v>
      </c>
      <c r="C15">
        <v>-41.5</v>
      </c>
      <c r="D15">
        <v>-275.39999999999998</v>
      </c>
      <c r="E15">
        <v>23.7</v>
      </c>
      <c r="F15">
        <v>-790.5</v>
      </c>
      <c r="G15">
        <v>-353.9</v>
      </c>
      <c r="H15" t="s">
        <v>1</v>
      </c>
    </row>
    <row r="16" spans="1:8" x14ac:dyDescent="0.25">
      <c r="A16" t="s">
        <v>99</v>
      </c>
      <c r="B16" t="s">
        <v>66</v>
      </c>
      <c r="C16" s="2">
        <v>3214.9</v>
      </c>
      <c r="D16" s="2">
        <v>3356.2</v>
      </c>
      <c r="E16" s="2">
        <v>3380.2</v>
      </c>
      <c r="F16" s="2">
        <v>3629.9</v>
      </c>
      <c r="G16" s="2">
        <v>3885.8</v>
      </c>
      <c r="H16" t="s">
        <v>1</v>
      </c>
    </row>
    <row r="17" spans="1:8" x14ac:dyDescent="0.25">
      <c r="A17" t="s">
        <v>100</v>
      </c>
      <c r="B17" t="s">
        <v>67</v>
      </c>
      <c r="C17">
        <v>78.8</v>
      </c>
      <c r="D17">
        <v>88.9</v>
      </c>
      <c r="E17">
        <v>98.3</v>
      </c>
      <c r="F17">
        <v>97</v>
      </c>
      <c r="G17">
        <v>95.8</v>
      </c>
      <c r="H17" t="s">
        <v>1</v>
      </c>
    </row>
    <row r="18" spans="1:8" x14ac:dyDescent="0.25">
      <c r="A18" t="s">
        <v>101</v>
      </c>
      <c r="B18" t="s">
        <v>68</v>
      </c>
      <c r="C18" s="2">
        <v>1077.2</v>
      </c>
      <c r="D18" s="2">
        <v>1134.8</v>
      </c>
      <c r="E18" s="2">
        <v>1163.0999999999999</v>
      </c>
      <c r="F18" s="2">
        <v>1228.8</v>
      </c>
      <c r="G18" s="2">
        <v>1165.2</v>
      </c>
      <c r="H18" t="s">
        <v>1</v>
      </c>
    </row>
    <row r="19" spans="1:8" x14ac:dyDescent="0.25">
      <c r="A19" t="s">
        <v>99</v>
      </c>
      <c r="B19" t="s">
        <v>69</v>
      </c>
      <c r="C19" s="2">
        <v>4675.3999999999996</v>
      </c>
      <c r="D19" s="2">
        <v>4407.3999999999996</v>
      </c>
      <c r="E19" s="2">
        <v>4435.3</v>
      </c>
      <c r="F19" s="2">
        <v>4792</v>
      </c>
      <c r="G19" s="2">
        <v>5519.1</v>
      </c>
      <c r="H19" t="s">
        <v>1</v>
      </c>
    </row>
    <row r="20" spans="1:8" x14ac:dyDescent="0.25">
      <c r="B20" t="s">
        <v>70</v>
      </c>
      <c r="C20" s="2">
        <v>13085.8</v>
      </c>
      <c r="D20" s="2">
        <v>13493.7</v>
      </c>
      <c r="E20" s="2">
        <v>16308</v>
      </c>
      <c r="F20" s="2">
        <v>16503.400000000001</v>
      </c>
      <c r="G20" s="2">
        <v>19038.5</v>
      </c>
      <c r="H20" t="s">
        <v>1</v>
      </c>
    </row>
    <row r="21" spans="1:8" x14ac:dyDescent="0.25">
      <c r="B21" t="s">
        <v>71</v>
      </c>
      <c r="C21" s="2">
        <v>1350.4</v>
      </c>
      <c r="D21" s="2">
        <v>2292</v>
      </c>
      <c r="E21" s="2">
        <v>1829.6</v>
      </c>
      <c r="F21" s="2">
        <v>2835.5</v>
      </c>
      <c r="G21" s="2">
        <v>2991.1</v>
      </c>
      <c r="H21" t="s">
        <v>1</v>
      </c>
    </row>
    <row r="22" spans="1:8" x14ac:dyDescent="0.25">
      <c r="A22" t="s">
        <v>102</v>
      </c>
      <c r="B22" t="s">
        <v>72</v>
      </c>
      <c r="C22">
        <v>0</v>
      </c>
      <c r="D22">
        <v>0</v>
      </c>
      <c r="E22">
        <v>0</v>
      </c>
      <c r="F22">
        <v>0</v>
      </c>
      <c r="G22">
        <v>0</v>
      </c>
      <c r="H22" t="s">
        <v>1</v>
      </c>
    </row>
    <row r="23" spans="1:8" x14ac:dyDescent="0.25">
      <c r="B23" t="s">
        <v>73</v>
      </c>
      <c r="C23" s="2">
        <v>1350.4</v>
      </c>
      <c r="D23" s="2">
        <v>2292</v>
      </c>
      <c r="E23" s="2">
        <v>1829.6</v>
      </c>
      <c r="F23" s="2">
        <v>2835.5</v>
      </c>
      <c r="G23" s="2">
        <v>2991.1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>
        <v>175.3</v>
      </c>
      <c r="D25">
        <v>470.7</v>
      </c>
      <c r="E25">
        <v>661.6</v>
      </c>
      <c r="F25">
        <v>817.2</v>
      </c>
      <c r="G25">
        <v>878.9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262.7</v>
      </c>
      <c r="D27">
        <v>-84.9</v>
      </c>
      <c r="E27">
        <v>-801.9</v>
      </c>
      <c r="F27">
        <v>114.7</v>
      </c>
      <c r="G27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>
        <v>438</v>
      </c>
      <c r="D29">
        <v>385.8</v>
      </c>
      <c r="E29">
        <v>-140.30000000000001</v>
      </c>
      <c r="F29">
        <v>931.9</v>
      </c>
      <c r="G29">
        <v>878.9</v>
      </c>
      <c r="H29" t="s">
        <v>1</v>
      </c>
    </row>
    <row r="30" spans="1:8" x14ac:dyDescent="0.25">
      <c r="B30" t="s">
        <v>80</v>
      </c>
      <c r="C30" s="2">
        <v>912.4</v>
      </c>
      <c r="D30" s="2">
        <v>1906.2</v>
      </c>
      <c r="E30" s="2">
        <v>1969.9</v>
      </c>
      <c r="F30" s="2">
        <v>1903.6</v>
      </c>
      <c r="G30">
        <v>2112.1999999999998</v>
      </c>
      <c r="H30" t="s">
        <v>1</v>
      </c>
    </row>
    <row r="31" spans="1:8" x14ac:dyDescent="0.25">
      <c r="B31" t="s">
        <v>81</v>
      </c>
      <c r="C31" s="2">
        <v>912.4</v>
      </c>
      <c r="D31" s="2">
        <v>1906.2</v>
      </c>
      <c r="E31" s="2">
        <v>1969.9</v>
      </c>
      <c r="F31" s="2">
        <v>1903.6</v>
      </c>
      <c r="G31">
        <v>2112.1999999999998</v>
      </c>
      <c r="H31" t="s">
        <v>1</v>
      </c>
    </row>
    <row r="32" spans="1:8" x14ac:dyDescent="0.25">
      <c r="B32" t="s">
        <v>82</v>
      </c>
      <c r="C32" s="2">
        <v>912.4</v>
      </c>
      <c r="D32" s="2">
        <v>1906.2</v>
      </c>
      <c r="E32" s="2">
        <v>1969.9</v>
      </c>
      <c r="F32" s="2">
        <v>1903.6</v>
      </c>
      <c r="G32">
        <v>2112.1999999999998</v>
      </c>
      <c r="H32" t="s">
        <v>1</v>
      </c>
    </row>
    <row r="33" spans="1:8" x14ac:dyDescent="0.25">
      <c r="B33" t="s">
        <v>10</v>
      </c>
      <c r="C33">
        <v>0</v>
      </c>
      <c r="D33">
        <v>0</v>
      </c>
      <c r="E33">
        <v>0</v>
      </c>
      <c r="F33">
        <v>0</v>
      </c>
      <c r="G33">
        <v>0</v>
      </c>
      <c r="H33" t="s">
        <v>1</v>
      </c>
    </row>
    <row r="34" spans="1:8" x14ac:dyDescent="0.25">
      <c r="B34" t="s">
        <v>83</v>
      </c>
      <c r="C34" s="2">
        <v>946.8</v>
      </c>
      <c r="D34" s="2">
        <v>1950</v>
      </c>
      <c r="E34" s="2">
        <v>2026</v>
      </c>
      <c r="F34" s="2">
        <v>1951.6</v>
      </c>
      <c r="G34">
        <v>2182.5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57</v>
      </c>
      <c r="D37">
        <v>118</v>
      </c>
      <c r="E37">
        <v>122</v>
      </c>
      <c r="F37">
        <v>118</v>
      </c>
      <c r="G37">
        <v>132</v>
      </c>
      <c r="H37" t="s">
        <v>1</v>
      </c>
    </row>
    <row r="38" spans="1:8" x14ac:dyDescent="0.25">
      <c r="B38" t="s">
        <v>86</v>
      </c>
      <c r="C38">
        <v>57</v>
      </c>
      <c r="D38">
        <v>117</v>
      </c>
      <c r="E38">
        <v>122</v>
      </c>
      <c r="F38">
        <v>117</v>
      </c>
      <c r="G38">
        <v>131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399.2</v>
      </c>
      <c r="D40">
        <v>332</v>
      </c>
      <c r="E40">
        <v>391.6</v>
      </c>
      <c r="F40">
        <v>414.7</v>
      </c>
      <c r="G40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0</v>
      </c>
      <c r="D41">
        <v>68.2</v>
      </c>
      <c r="E41">
        <v>0</v>
      </c>
      <c r="F41">
        <v>0</v>
      </c>
      <c r="G41">
        <v>0</v>
      </c>
      <c r="H41" t="s">
        <v>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0900B-3A7B-482E-AABB-E862AAF63A01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2759.5999999999995</v>
      </c>
      <c r="D6" s="16">
        <f>'Income Statement'!D19</f>
        <v>3934.8</v>
      </c>
      <c r="E6" s="16">
        <f>'Income Statement'!E19</f>
        <v>6117.1999999999989</v>
      </c>
      <c r="F6" s="16">
        <f>'Income Statement'!F19</f>
        <v>5317.1000000000013</v>
      </c>
      <c r="G6" s="16">
        <f>'Income Statement'!G19</f>
        <v>7040.9999999999991</v>
      </c>
    </row>
    <row r="7" spans="2:7" ht="18.75" x14ac:dyDescent="0.25">
      <c r="B7" s="15" t="str">
        <f>'Income Statement'!B20</f>
        <v>Finance Costs</v>
      </c>
      <c r="C7" s="16">
        <f>'Income Statement'!C20</f>
        <v>78.8</v>
      </c>
      <c r="D7" s="16">
        <f>'Income Statement'!D20</f>
        <v>88.9</v>
      </c>
      <c r="E7" s="16">
        <f>'Income Statement'!E20</f>
        <v>98.3</v>
      </c>
      <c r="F7" s="16">
        <f>'Income Statement'!F20</f>
        <v>97</v>
      </c>
      <c r="G7" s="16">
        <f>'Income Statement'!G20</f>
        <v>95.8</v>
      </c>
    </row>
    <row r="8" spans="2:7" ht="18.75" x14ac:dyDescent="0.25">
      <c r="B8" s="17" t="s">
        <v>173</v>
      </c>
      <c r="C8" s="17">
        <f>ROUND(C6/C7, 2)</f>
        <v>35.020000000000003</v>
      </c>
      <c r="D8" s="17">
        <f t="shared" ref="D8:G8" si="0">ROUND(D6/D7, 2)</f>
        <v>44.26</v>
      </c>
      <c r="E8" s="17">
        <f t="shared" si="0"/>
        <v>62.23</v>
      </c>
      <c r="F8" s="17">
        <f t="shared" si="0"/>
        <v>54.82</v>
      </c>
      <c r="G8" s="17">
        <f t="shared" si="0"/>
        <v>73.5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FD172-7193-4D5C-AB67-B584B86ED234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174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2630.9</v>
      </c>
      <c r="D6" s="16">
        <f>'Income Statement'!D11</f>
        <v>2889.4</v>
      </c>
      <c r="E6" s="16">
        <f>'Income Statement'!E11</f>
        <v>2984.8</v>
      </c>
      <c r="F6" s="16">
        <f>'Income Statement'!F11</f>
        <v>4295.8</v>
      </c>
      <c r="G6" s="16">
        <f>'Income Statement'!G11</f>
        <v>4312.3999999999996</v>
      </c>
    </row>
    <row r="7" spans="2:7" ht="18.75" x14ac:dyDescent="0.25">
      <c r="B7" s="15" t="str">
        <f>'Income Statement'!B7</f>
        <v>Net Sales</v>
      </c>
      <c r="C7" s="16">
        <f>'Income Statement'!C7</f>
        <v>14202.8</v>
      </c>
      <c r="D7" s="16">
        <f>'Income Statement'!D7</f>
        <v>15385.1</v>
      </c>
      <c r="E7" s="16">
        <f>'Income Statement'!E7</f>
        <v>17460</v>
      </c>
      <c r="F7" s="16">
        <f>'Income Statement'!F7</f>
        <v>18972.2</v>
      </c>
      <c r="G7" s="16">
        <f>'Income Statement'!G7</f>
        <v>21439.1</v>
      </c>
    </row>
    <row r="8" spans="2:7" ht="18.75" x14ac:dyDescent="0.25">
      <c r="B8" s="17" t="s">
        <v>175</v>
      </c>
      <c r="C8" s="17">
        <f>ROUND(C6/C7, 2)</f>
        <v>0.19</v>
      </c>
      <c r="D8" s="17">
        <f t="shared" ref="D8:G8" si="0">ROUND(D6/D7, 2)</f>
        <v>0.19</v>
      </c>
      <c r="E8" s="17">
        <f t="shared" si="0"/>
        <v>0.17</v>
      </c>
      <c r="F8" s="17">
        <f t="shared" si="0"/>
        <v>0.23</v>
      </c>
      <c r="G8" s="17">
        <f t="shared" si="0"/>
        <v>0.2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9EDFC-36CF-4DDA-ADA4-7F9B6A6BC44C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4" width="11.5703125" bestFit="1" customWidth="1"/>
    <col min="5" max="5" width="12.28515625" bestFit="1" customWidth="1"/>
    <col min="6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176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263.8</v>
      </c>
      <c r="D6" s="16">
        <f>'Balance Sheet'!D38</f>
        <v>5892.4000000000005</v>
      </c>
      <c r="E6" s="16">
        <f>'Balance Sheet'!E38</f>
        <v>9893.5999999999985</v>
      </c>
      <c r="F6" s="16">
        <f>'Balance Sheet'!F38</f>
        <v>13811.8</v>
      </c>
      <c r="G6" s="16">
        <f>'Balance Sheet'!G38</f>
        <v>19785.099999999999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2630.9</v>
      </c>
      <c r="D7" s="16">
        <f>'Income Statement'!D11</f>
        <v>2889.4</v>
      </c>
      <c r="E7" s="16">
        <f>'Income Statement'!E11</f>
        <v>2984.8</v>
      </c>
      <c r="F7" s="16">
        <f>'Income Statement'!F11</f>
        <v>4295.8</v>
      </c>
      <c r="G7" s="16">
        <f>'Income Statement'!G11</f>
        <v>4312.3999999999996</v>
      </c>
    </row>
    <row r="8" spans="2:7" ht="18.75" x14ac:dyDescent="0.25">
      <c r="B8" s="17" t="s">
        <v>177</v>
      </c>
      <c r="C8" s="17">
        <f>ROUND(C6/C7*365, 2)</f>
        <v>36.6</v>
      </c>
      <c r="D8" s="17">
        <f t="shared" ref="D8:G8" si="0">ROUND(D6/D7*365, 2)</f>
        <v>744.35</v>
      </c>
      <c r="E8" s="17">
        <f t="shared" si="0"/>
        <v>1209.8499999999999</v>
      </c>
      <c r="F8" s="17">
        <f t="shared" si="0"/>
        <v>1173.54</v>
      </c>
      <c r="G8" s="17">
        <f t="shared" si="0"/>
        <v>1674.6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D4D02-6587-49E7-974A-112BC7F04F02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3" width="10" bestFit="1" customWidth="1"/>
    <col min="4" max="5" width="11.5703125" bestFit="1" customWidth="1"/>
    <col min="6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178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263.8</v>
      </c>
      <c r="D6" s="16">
        <f>'Balance Sheet'!D38</f>
        <v>5892.4000000000005</v>
      </c>
      <c r="E6" s="16">
        <f>'Balance Sheet'!E38</f>
        <v>9893.5999999999985</v>
      </c>
      <c r="F6" s="16">
        <f>'Balance Sheet'!F38</f>
        <v>13811.8</v>
      </c>
      <c r="G6" s="16">
        <f>'Balance Sheet'!G38</f>
        <v>19785.099999999999</v>
      </c>
    </row>
    <row r="7" spans="2:7" ht="18.75" x14ac:dyDescent="0.25">
      <c r="B7" s="15" t="s">
        <v>179</v>
      </c>
      <c r="C7" s="16">
        <v>365</v>
      </c>
      <c r="D7" s="16">
        <v>365</v>
      </c>
      <c r="E7" s="16">
        <v>365</v>
      </c>
      <c r="F7" s="16">
        <v>365</v>
      </c>
      <c r="G7" s="16">
        <v>365</v>
      </c>
    </row>
    <row r="8" spans="2:7" ht="18.75" x14ac:dyDescent="0.25">
      <c r="B8" s="17" t="s">
        <v>180</v>
      </c>
      <c r="C8" s="17">
        <f>ROUND(C6/C7*365, 2)</f>
        <v>263.8</v>
      </c>
      <c r="D8" s="17">
        <f t="shared" ref="D8:G8" si="0">ROUND(D6/D7*365, 2)</f>
        <v>5892.4</v>
      </c>
      <c r="E8" s="17">
        <f t="shared" si="0"/>
        <v>9893.6</v>
      </c>
      <c r="F8" s="17">
        <f t="shared" si="0"/>
        <v>13811.8</v>
      </c>
      <c r="G8" s="17">
        <f t="shared" si="0"/>
        <v>19785.099999999999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5C36AF-EBCD-4B95-B4F4-29378E5168ED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14202.8</v>
      </c>
      <c r="D6" s="16">
        <f>'Income Statement'!D5</f>
        <v>15385.1</v>
      </c>
      <c r="E6" s="16">
        <f>'Income Statement'!E5</f>
        <v>17460</v>
      </c>
      <c r="F6" s="16">
        <f>'Income Statement'!F5</f>
        <v>18972.2</v>
      </c>
      <c r="G6" s="16">
        <f>'Income Statement'!G5</f>
        <v>21439.1</v>
      </c>
    </row>
    <row r="7" spans="2:7" ht="18.75" x14ac:dyDescent="0.25">
      <c r="B7" s="15" t="str">
        <f>'Balance Sheet'!B40</f>
        <v>Total Assets</v>
      </c>
      <c r="C7" s="16">
        <f>'Balance Sheet'!C40</f>
        <v>22544.300000000003</v>
      </c>
      <c r="D7" s="16">
        <f>'Balance Sheet'!D40</f>
        <v>24073.5</v>
      </c>
      <c r="E7" s="16">
        <f>'Balance Sheet'!E40</f>
        <v>29025.699999999997</v>
      </c>
      <c r="F7" s="16">
        <f>'Balance Sheet'!F40</f>
        <v>34247.899999999994</v>
      </c>
      <c r="G7" s="16">
        <f>'Balance Sheet'!G40</f>
        <v>41873.599999999999</v>
      </c>
    </row>
    <row r="8" spans="2:7" ht="18.75" x14ac:dyDescent="0.25">
      <c r="B8" s="17" t="s">
        <v>182</v>
      </c>
      <c r="C8" s="17">
        <f>ROUND(C6/C7, 2)</f>
        <v>0.63</v>
      </c>
      <c r="D8" s="17">
        <f t="shared" ref="D8:G8" si="0">ROUND(D6/D7, 2)</f>
        <v>0.64</v>
      </c>
      <c r="E8" s="17">
        <f t="shared" si="0"/>
        <v>0.6</v>
      </c>
      <c r="F8" s="17">
        <f t="shared" si="0"/>
        <v>0.55000000000000004</v>
      </c>
      <c r="G8" s="17">
        <f t="shared" si="0"/>
        <v>0.51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1A745-C04F-4940-BAD5-AC91D978BF8F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183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14202.8</v>
      </c>
      <c r="D6" s="16">
        <f>'Income Statement'!D5</f>
        <v>15385.1</v>
      </c>
      <c r="E6" s="16">
        <f>'Income Statement'!E5</f>
        <v>17460</v>
      </c>
      <c r="F6" s="16">
        <f>'Income Statement'!F5</f>
        <v>18972.2</v>
      </c>
      <c r="G6" s="16">
        <f>'Income Statement'!G5</f>
        <v>21439.1</v>
      </c>
    </row>
    <row r="7" spans="2:7" ht="18.75" x14ac:dyDescent="0.25">
      <c r="B7" s="15" t="str">
        <f>'Balance Sheet'!B36</f>
        <v>Inventories</v>
      </c>
      <c r="C7" s="16">
        <f>'Balance Sheet'!C36</f>
        <v>2908.9</v>
      </c>
      <c r="D7" s="16">
        <f>'Balance Sheet'!D36</f>
        <v>3357.9</v>
      </c>
      <c r="E7" s="16">
        <f>'Balance Sheet'!E36</f>
        <v>3506.7</v>
      </c>
      <c r="F7" s="16">
        <f>'Balance Sheet'!F36</f>
        <v>4541.2</v>
      </c>
      <c r="G7" s="16">
        <f>'Balance Sheet'!G36</f>
        <v>5088.3999999999996</v>
      </c>
    </row>
    <row r="8" spans="2:7" ht="18.75" x14ac:dyDescent="0.25">
      <c r="B8" s="17" t="s">
        <v>184</v>
      </c>
      <c r="C8" s="17">
        <f>ROUND(C6/C7, 2)</f>
        <v>4.88</v>
      </c>
      <c r="D8" s="17">
        <f t="shared" ref="D8:G8" si="0">ROUND(D6/D7, 2)</f>
        <v>4.58</v>
      </c>
      <c r="E8" s="17">
        <f t="shared" si="0"/>
        <v>4.9800000000000004</v>
      </c>
      <c r="F8" s="17">
        <f t="shared" si="0"/>
        <v>4.18</v>
      </c>
      <c r="G8" s="17">
        <f t="shared" si="0"/>
        <v>4.21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24321F-E014-4DA9-B392-5F8DAC3CC33C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14202.8</v>
      </c>
      <c r="D6" s="16">
        <f>'Income Statement'!D5</f>
        <v>15385.1</v>
      </c>
      <c r="E6" s="16">
        <f>'Income Statement'!E5</f>
        <v>17460</v>
      </c>
      <c r="F6" s="16">
        <f>'Income Statement'!F5</f>
        <v>18972.2</v>
      </c>
      <c r="G6" s="16">
        <f>'Income Statement'!G5</f>
        <v>21439.1</v>
      </c>
    </row>
    <row r="7" spans="2:7" ht="18.75" x14ac:dyDescent="0.25">
      <c r="B7" s="15" t="str">
        <f>'Balance Sheet'!B37</f>
        <v>Trade Receivables</v>
      </c>
      <c r="C7" s="16">
        <f>'Balance Sheet'!C37</f>
        <v>4052.7</v>
      </c>
      <c r="D7" s="16">
        <f>'Balance Sheet'!D37</f>
        <v>3986.9</v>
      </c>
      <c r="E7" s="16">
        <f>'Balance Sheet'!E37</f>
        <v>5027.8</v>
      </c>
      <c r="F7" s="16">
        <f>'Balance Sheet'!F37</f>
        <v>4964.1000000000004</v>
      </c>
      <c r="G7" s="16">
        <f>'Balance Sheet'!G37</f>
        <v>6676.4</v>
      </c>
    </row>
    <row r="8" spans="2:7" ht="18.75" x14ac:dyDescent="0.25">
      <c r="B8" s="17" t="s">
        <v>186</v>
      </c>
      <c r="C8" s="17">
        <f>ROUND(C6/C7, 2)</f>
        <v>3.5</v>
      </c>
      <c r="D8" s="17">
        <f t="shared" ref="D8:G8" si="0">ROUND(D6/D7, 2)</f>
        <v>3.86</v>
      </c>
      <c r="E8" s="17">
        <f t="shared" si="0"/>
        <v>3.47</v>
      </c>
      <c r="F8" s="17">
        <f t="shared" si="0"/>
        <v>3.82</v>
      </c>
      <c r="G8" s="17">
        <f t="shared" si="0"/>
        <v>3.21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C9D65-FD25-4EDA-BFC8-21983D5ECFEF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14202.8</v>
      </c>
      <c r="D6" s="16">
        <f>'Income Statement'!D5</f>
        <v>15385.1</v>
      </c>
      <c r="E6" s="16">
        <f>'Income Statement'!E5</f>
        <v>17460</v>
      </c>
      <c r="F6" s="16">
        <f>'Income Statement'!F5</f>
        <v>18972.2</v>
      </c>
      <c r="G6" s="16">
        <f>'Income Statement'!G5</f>
        <v>21439.1</v>
      </c>
    </row>
    <row r="7" spans="2:7" ht="18.75" x14ac:dyDescent="0.25">
      <c r="B7" s="15" t="str">
        <f>'Balance Sheet'!B23</f>
        <v>Tangible Assets</v>
      </c>
      <c r="C7" s="16">
        <f>'Balance Sheet'!C23</f>
        <v>4973.3</v>
      </c>
      <c r="D7" s="16">
        <f>'Balance Sheet'!D23</f>
        <v>4912.7</v>
      </c>
      <c r="E7" s="16">
        <f>'Balance Sheet'!E23</f>
        <v>4777.8999999999996</v>
      </c>
      <c r="F7" s="16">
        <f>'Balance Sheet'!F23</f>
        <v>4732.2</v>
      </c>
      <c r="G7" s="16">
        <f>'Balance Sheet'!G23</f>
        <v>8867.6</v>
      </c>
    </row>
    <row r="8" spans="2:7" ht="18.75" x14ac:dyDescent="0.25">
      <c r="B8" s="17" t="s">
        <v>188</v>
      </c>
      <c r="C8" s="17">
        <f>ROUND(C6/C7, 2)</f>
        <v>2.86</v>
      </c>
      <c r="D8" s="17">
        <f t="shared" ref="D8:G8" si="0">ROUND(D6/D7, 2)</f>
        <v>3.13</v>
      </c>
      <c r="E8" s="17">
        <f t="shared" si="0"/>
        <v>3.65</v>
      </c>
      <c r="F8" s="17">
        <f t="shared" si="0"/>
        <v>4.01</v>
      </c>
      <c r="G8" s="17">
        <f t="shared" si="0"/>
        <v>2.42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FDA4D-A97A-40F8-8CB2-0F2BF8C38ECC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189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2630.9</v>
      </c>
      <c r="D6" s="16">
        <f>'Income Statement'!D11</f>
        <v>2889.4</v>
      </c>
      <c r="E6" s="16">
        <f>'Income Statement'!E11</f>
        <v>2984.8</v>
      </c>
      <c r="F6" s="16">
        <f>'Income Statement'!F11</f>
        <v>4295.8</v>
      </c>
      <c r="G6" s="16">
        <f>'Income Statement'!G11</f>
        <v>4312.3999999999996</v>
      </c>
    </row>
    <row r="7" spans="2:7" ht="18.75" x14ac:dyDescent="0.25">
      <c r="B7" s="15" t="str">
        <f>'Balance Sheet'!B19</f>
        <v>Total Current Liabilities</v>
      </c>
      <c r="C7" s="16">
        <f>'Balance Sheet'!C19</f>
        <v>4712.6000000000004</v>
      </c>
      <c r="D7" s="16">
        <f>'Balance Sheet'!D19</f>
        <v>4982.2</v>
      </c>
      <c r="E7" s="16">
        <f>'Balance Sheet'!E19</f>
        <v>5840.9</v>
      </c>
      <c r="F7" s="16">
        <f>'Balance Sheet'!F19</f>
        <v>6001.8</v>
      </c>
      <c r="G7" s="16">
        <f>'Balance Sheet'!G19</f>
        <v>7250.3</v>
      </c>
    </row>
    <row r="8" spans="2:7" ht="18.75" x14ac:dyDescent="0.25">
      <c r="B8" s="17" t="s">
        <v>190</v>
      </c>
      <c r="C8" s="17">
        <f>ROUND(C6/C7, 2)</f>
        <v>0.56000000000000005</v>
      </c>
      <c r="D8" s="17">
        <f t="shared" ref="D8:G8" si="0">ROUND(D6/D7, 2)</f>
        <v>0.57999999999999996</v>
      </c>
      <c r="E8" s="17">
        <f t="shared" si="0"/>
        <v>0.51</v>
      </c>
      <c r="F8" s="17">
        <f t="shared" si="0"/>
        <v>0.72</v>
      </c>
      <c r="G8" s="17">
        <f t="shared" si="0"/>
        <v>0.59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78B6F-5679-4DC8-B70E-72655D8F82D0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14202.8</v>
      </c>
      <c r="D6" s="16">
        <f>'Income Statement'!D5</f>
        <v>15385.1</v>
      </c>
      <c r="E6" s="16">
        <f>'Income Statement'!E5</f>
        <v>17460</v>
      </c>
      <c r="F6" s="16">
        <f>'Income Statement'!F5</f>
        <v>18972.2</v>
      </c>
      <c r="G6" s="16">
        <f>'Income Statement'!G5</f>
        <v>21439.1</v>
      </c>
    </row>
    <row r="7" spans="2:7" ht="18.75" x14ac:dyDescent="0.25">
      <c r="B7" s="15" t="str">
        <f>'Balance Sheet'!B36</f>
        <v>Inventories</v>
      </c>
      <c r="C7" s="16">
        <f>'Balance Sheet'!C36</f>
        <v>2908.9</v>
      </c>
      <c r="D7" s="16">
        <f>'Balance Sheet'!D36</f>
        <v>3357.9</v>
      </c>
      <c r="E7" s="16">
        <f>'Balance Sheet'!E36</f>
        <v>3506.7</v>
      </c>
      <c r="F7" s="16">
        <f>'Balance Sheet'!F36</f>
        <v>4541.2</v>
      </c>
      <c r="G7" s="16">
        <f>'Balance Sheet'!G36</f>
        <v>5088.3999999999996</v>
      </c>
    </row>
    <row r="8" spans="2:7" ht="18.75" x14ac:dyDescent="0.25">
      <c r="B8" s="17" t="s">
        <v>192</v>
      </c>
      <c r="C8" s="17">
        <f>ROUND(365/C6*C7, 2)</f>
        <v>74.760000000000005</v>
      </c>
      <c r="D8" s="17">
        <f t="shared" ref="D8:G8" si="0">ROUND(365/D6*D7, 2)</f>
        <v>79.66</v>
      </c>
      <c r="E8" s="17">
        <f t="shared" si="0"/>
        <v>73.31</v>
      </c>
      <c r="F8" s="17">
        <f t="shared" si="0"/>
        <v>87.37</v>
      </c>
      <c r="G8" s="17">
        <f t="shared" si="0"/>
        <v>86.63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E673F-6F6F-4760-BC62-80A3ABE2AAE5}">
  <dimension ref="B3:G35"/>
  <sheetViews>
    <sheetView showGridLines="0" topLeftCell="A13" workbookViewId="0">
      <selection activeCell="C30" sqref="C30:G30"/>
    </sheetView>
  </sheetViews>
  <sheetFormatPr defaultRowHeight="15" x14ac:dyDescent="0.25"/>
  <cols>
    <col min="2" max="2" width="57.140625" bestFit="1" customWidth="1"/>
    <col min="3" max="4" width="18.85546875" bestFit="1" customWidth="1"/>
    <col min="5" max="5" width="17.140625" bestFit="1" customWidth="1"/>
    <col min="6" max="7" width="18.85546875" bestFit="1" customWidth="1"/>
  </cols>
  <sheetData>
    <row r="3" spans="2:7" ht="18.75" x14ac:dyDescent="0.25">
      <c r="B3" s="10" t="s">
        <v>120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97</v>
      </c>
      <c r="C5" s="5">
        <v>14202.8</v>
      </c>
      <c r="D5" s="5">
        <v>15385.1</v>
      </c>
      <c r="E5" s="5">
        <v>17460</v>
      </c>
      <c r="F5" s="5">
        <v>18972.2</v>
      </c>
      <c r="G5" s="5">
        <v>21439.1</v>
      </c>
    </row>
    <row r="6" spans="2:7" ht="18.75" x14ac:dyDescent="0.25">
      <c r="B6" s="8" t="s">
        <v>98</v>
      </c>
      <c r="C6" s="4">
        <v>0</v>
      </c>
      <c r="D6" s="4">
        <v>0</v>
      </c>
      <c r="E6" s="4">
        <v>0</v>
      </c>
      <c r="F6" s="4">
        <v>0</v>
      </c>
      <c r="G6" s="4">
        <v>0</v>
      </c>
    </row>
    <row r="7" spans="2:7" ht="18.75" x14ac:dyDescent="0.25">
      <c r="B7" s="9" t="s">
        <v>105</v>
      </c>
      <c r="C7" s="7">
        <f>C5 - C6</f>
        <v>14202.8</v>
      </c>
      <c r="D7" s="7">
        <f t="shared" ref="D7:G7" si="0">D5 - D6</f>
        <v>15385.1</v>
      </c>
      <c r="E7" s="7">
        <f t="shared" si="0"/>
        <v>17460</v>
      </c>
      <c r="F7" s="7">
        <f t="shared" si="0"/>
        <v>18972.2</v>
      </c>
      <c r="G7" s="7">
        <f t="shared" si="0"/>
        <v>21439.1</v>
      </c>
    </row>
    <row r="8" spans="2:7" ht="18.75" x14ac:dyDescent="0.25">
      <c r="B8" s="8" t="s">
        <v>59</v>
      </c>
      <c r="C8" s="4">
        <v>155.19999999999999</v>
      </c>
      <c r="D8" s="4">
        <v>337.5</v>
      </c>
      <c r="E8" s="4">
        <v>620.6</v>
      </c>
      <c r="F8" s="4">
        <v>291.39999999999998</v>
      </c>
      <c r="G8" s="4">
        <v>484.4</v>
      </c>
    </row>
    <row r="9" spans="2:7" ht="18.75" x14ac:dyDescent="0.25">
      <c r="B9" s="8" t="s">
        <v>106</v>
      </c>
      <c r="C9" s="4"/>
      <c r="D9" s="4"/>
      <c r="E9" s="4"/>
      <c r="F9" s="4"/>
      <c r="G9" s="4"/>
    </row>
    <row r="10" spans="2:7" ht="18.75" x14ac:dyDescent="0.25">
      <c r="B10" s="9" t="s">
        <v>107</v>
      </c>
      <c r="C10" s="7">
        <f>SUM(C7:C9)</f>
        <v>14358</v>
      </c>
      <c r="D10" s="7">
        <f t="shared" ref="D10:G10" si="1">SUM(D7:D9)</f>
        <v>15722.6</v>
      </c>
      <c r="E10" s="7">
        <f t="shared" si="1"/>
        <v>18080.599999999999</v>
      </c>
      <c r="F10" s="7">
        <f t="shared" si="1"/>
        <v>19263.600000000002</v>
      </c>
      <c r="G10" s="7">
        <f t="shared" si="1"/>
        <v>21923.5</v>
      </c>
    </row>
    <row r="11" spans="2:7" ht="18.75" x14ac:dyDescent="0.25">
      <c r="B11" s="8" t="s">
        <v>62</v>
      </c>
      <c r="C11" s="5">
        <v>2630.9</v>
      </c>
      <c r="D11" s="5">
        <v>2889.4</v>
      </c>
      <c r="E11" s="5">
        <v>2984.8</v>
      </c>
      <c r="F11" s="5">
        <v>4295.8</v>
      </c>
      <c r="G11" s="5">
        <v>4312.3999999999996</v>
      </c>
    </row>
    <row r="12" spans="2:7" ht="18.75" x14ac:dyDescent="0.25">
      <c r="B12" s="8" t="s">
        <v>64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</row>
    <row r="13" spans="2:7" ht="18.75" x14ac:dyDescent="0.25">
      <c r="B13" s="8" t="s">
        <v>66</v>
      </c>
      <c r="C13" s="5">
        <v>3214.9</v>
      </c>
      <c r="D13" s="5">
        <v>3356.2</v>
      </c>
      <c r="E13" s="5">
        <v>3380.2</v>
      </c>
      <c r="F13" s="5">
        <v>3629.9</v>
      </c>
      <c r="G13" s="5">
        <v>3885.8</v>
      </c>
    </row>
    <row r="14" spans="2:7" ht="18.75" x14ac:dyDescent="0.25">
      <c r="B14" s="8" t="s">
        <v>69</v>
      </c>
      <c r="C14" s="5">
        <v>4675.3999999999996</v>
      </c>
      <c r="D14" s="5">
        <v>4407.3999999999996</v>
      </c>
      <c r="E14" s="5">
        <v>4435.3</v>
      </c>
      <c r="F14" s="5">
        <v>4792</v>
      </c>
      <c r="G14" s="5">
        <v>5519.1</v>
      </c>
    </row>
    <row r="15" spans="2:7" ht="18.75" x14ac:dyDescent="0.25">
      <c r="B15" s="9" t="s">
        <v>108</v>
      </c>
      <c r="C15" s="7">
        <f>C11+C12+C13+C14</f>
        <v>10521.2</v>
      </c>
      <c r="D15" s="7">
        <f t="shared" ref="D15:G15" si="2">D11+D12+D13+D14</f>
        <v>10653</v>
      </c>
      <c r="E15" s="7">
        <f t="shared" si="2"/>
        <v>10800.3</v>
      </c>
      <c r="F15" s="7">
        <f t="shared" si="2"/>
        <v>12717.7</v>
      </c>
      <c r="G15" s="7">
        <f t="shared" si="2"/>
        <v>13717.300000000001</v>
      </c>
    </row>
    <row r="16" spans="2:7" ht="18.75" x14ac:dyDescent="0.25">
      <c r="B16" s="9" t="s">
        <v>109</v>
      </c>
      <c r="C16" s="7">
        <f xml:space="preserve"> C10-C15-C8</f>
        <v>3681.5999999999995</v>
      </c>
      <c r="D16" s="7">
        <f t="shared" ref="D16:G16" si="3" xml:space="preserve"> D10-D15-D8</f>
        <v>4732.1000000000004</v>
      </c>
      <c r="E16" s="7">
        <f t="shared" si="3"/>
        <v>6659.6999999999989</v>
      </c>
      <c r="F16" s="7">
        <f t="shared" si="3"/>
        <v>6254.5000000000018</v>
      </c>
      <c r="G16" s="7">
        <f t="shared" si="3"/>
        <v>7721.7999999999993</v>
      </c>
    </row>
    <row r="17" spans="2:7" ht="18.75" x14ac:dyDescent="0.25">
      <c r="B17" s="9" t="s">
        <v>110</v>
      </c>
      <c r="C17" s="7">
        <f xml:space="preserve"> C16+C8</f>
        <v>3836.7999999999993</v>
      </c>
      <c r="D17" s="7">
        <f t="shared" ref="D17:G17" si="4" xml:space="preserve"> D16+D8</f>
        <v>5069.6000000000004</v>
      </c>
      <c r="E17" s="7">
        <f t="shared" si="4"/>
        <v>7280.2999999999993</v>
      </c>
      <c r="F17" s="7">
        <f t="shared" si="4"/>
        <v>6545.9000000000015</v>
      </c>
      <c r="G17" s="7">
        <f t="shared" si="4"/>
        <v>8206.1999999999989</v>
      </c>
    </row>
    <row r="18" spans="2:7" ht="18.75" x14ac:dyDescent="0.25">
      <c r="B18" s="8" t="s">
        <v>68</v>
      </c>
      <c r="C18" s="5">
        <v>1077.2</v>
      </c>
      <c r="D18" s="5">
        <v>1134.8</v>
      </c>
      <c r="E18" s="5">
        <v>1163.0999999999999</v>
      </c>
      <c r="F18" s="5">
        <v>1228.8</v>
      </c>
      <c r="G18" s="5">
        <v>1165.2</v>
      </c>
    </row>
    <row r="19" spans="2:7" ht="18.75" x14ac:dyDescent="0.25">
      <c r="B19" s="9" t="s">
        <v>111</v>
      </c>
      <c r="C19" s="7">
        <f xml:space="preserve"> C17-C18</f>
        <v>2759.5999999999995</v>
      </c>
      <c r="D19" s="7">
        <f t="shared" ref="D19:G19" si="5" xml:space="preserve"> D17-D18</f>
        <v>3934.8</v>
      </c>
      <c r="E19" s="7">
        <f t="shared" si="5"/>
        <v>6117.1999999999989</v>
      </c>
      <c r="F19" s="7">
        <f t="shared" si="5"/>
        <v>5317.1000000000013</v>
      </c>
      <c r="G19" s="7">
        <f t="shared" si="5"/>
        <v>7040.9999999999991</v>
      </c>
    </row>
    <row r="20" spans="2:7" ht="18.75" x14ac:dyDescent="0.25">
      <c r="B20" s="8" t="s">
        <v>67</v>
      </c>
      <c r="C20" s="4">
        <v>78.8</v>
      </c>
      <c r="D20" s="4">
        <v>88.9</v>
      </c>
      <c r="E20" s="4">
        <v>98.3</v>
      </c>
      <c r="F20" s="4">
        <v>97</v>
      </c>
      <c r="G20" s="4">
        <v>95.8</v>
      </c>
    </row>
    <row r="21" spans="2:7" ht="18.75" x14ac:dyDescent="0.25">
      <c r="B21" s="9" t="s">
        <v>112</v>
      </c>
      <c r="C21" s="7">
        <f xml:space="preserve"> C19-C20</f>
        <v>2680.7999999999993</v>
      </c>
      <c r="D21" s="7">
        <f t="shared" ref="D21:G21" si="6" xml:space="preserve"> D19-D20</f>
        <v>3845.9</v>
      </c>
      <c r="E21" s="7">
        <f t="shared" si="6"/>
        <v>6018.8999999999987</v>
      </c>
      <c r="F21" s="7">
        <f t="shared" si="6"/>
        <v>5220.1000000000013</v>
      </c>
      <c r="G21" s="7">
        <f t="shared" si="6"/>
        <v>6945.1999999999989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2680.7999999999993</v>
      </c>
      <c r="D23" s="7">
        <f t="shared" ref="D23:G23" si="7" xml:space="preserve"> D21+D22</f>
        <v>3845.9</v>
      </c>
      <c r="E23" s="7">
        <f t="shared" si="7"/>
        <v>6018.8999999999987</v>
      </c>
      <c r="F23" s="7">
        <f t="shared" si="7"/>
        <v>5220.1000000000013</v>
      </c>
      <c r="G23" s="7">
        <f t="shared" si="7"/>
        <v>6945.1999999999989</v>
      </c>
    </row>
    <row r="24" spans="2:7" ht="18.75" x14ac:dyDescent="0.25">
      <c r="B24" s="8" t="s">
        <v>72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</row>
    <row r="25" spans="2:7" ht="18.75" x14ac:dyDescent="0.25">
      <c r="B25" s="9" t="s">
        <v>115</v>
      </c>
      <c r="C25" s="7">
        <f xml:space="preserve"> C23+C24</f>
        <v>2680.7999999999993</v>
      </c>
      <c r="D25" s="7">
        <f t="shared" ref="D25:G25" si="8" xml:space="preserve"> D23+D24</f>
        <v>3845.9</v>
      </c>
      <c r="E25" s="7">
        <f t="shared" si="8"/>
        <v>6018.8999999999987</v>
      </c>
      <c r="F25" s="7">
        <f t="shared" si="8"/>
        <v>5220.1000000000013</v>
      </c>
      <c r="G25" s="7">
        <f t="shared" si="8"/>
        <v>6945.1999999999989</v>
      </c>
    </row>
    <row r="26" spans="2:7" ht="18.75" x14ac:dyDescent="0.25">
      <c r="B26" s="8" t="s">
        <v>79</v>
      </c>
      <c r="C26" s="4">
        <v>438</v>
      </c>
      <c r="D26" s="4">
        <v>385.8</v>
      </c>
      <c r="E26" s="4">
        <v>-140.30000000000001</v>
      </c>
      <c r="F26" s="4">
        <v>931.9</v>
      </c>
      <c r="G26" s="4">
        <v>878.9</v>
      </c>
    </row>
    <row r="27" spans="2:7" ht="18.75" x14ac:dyDescent="0.25">
      <c r="B27" s="9" t="s">
        <v>116</v>
      </c>
      <c r="C27" s="7">
        <f xml:space="preserve"> C25-C26</f>
        <v>2242.7999999999993</v>
      </c>
      <c r="D27" s="7">
        <f t="shared" ref="D27:G27" si="9" xml:space="preserve"> D25-D26</f>
        <v>3460.1</v>
      </c>
      <c r="E27" s="7">
        <f t="shared" si="9"/>
        <v>6159.1999999999989</v>
      </c>
      <c r="F27" s="7">
        <f t="shared" si="9"/>
        <v>4288.2000000000016</v>
      </c>
      <c r="G27" s="7">
        <f t="shared" si="9"/>
        <v>6066.2999999999993</v>
      </c>
    </row>
    <row r="28" spans="2:7" ht="18.75" x14ac:dyDescent="0.25">
      <c r="B28" s="8" t="s">
        <v>88</v>
      </c>
      <c r="C28" s="4">
        <v>399.2</v>
      </c>
      <c r="D28" s="4">
        <v>332</v>
      </c>
      <c r="E28" s="4">
        <v>391.6</v>
      </c>
      <c r="F28" s="4">
        <v>414.7</v>
      </c>
      <c r="G28" s="4">
        <v>0</v>
      </c>
    </row>
    <row r="29" spans="2:7" ht="18.75" x14ac:dyDescent="0.25">
      <c r="B29" s="8" t="s">
        <v>89</v>
      </c>
      <c r="C29" s="4">
        <v>0</v>
      </c>
      <c r="D29" s="4">
        <v>68.2</v>
      </c>
      <c r="E29" s="4">
        <v>0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1843.5999999999992</v>
      </c>
      <c r="D30" s="7">
        <f t="shared" ref="D30:G30" si="10" xml:space="preserve"> D27-D28-D29</f>
        <v>3059.9</v>
      </c>
      <c r="E30" s="7">
        <f t="shared" si="10"/>
        <v>5767.5999999999985</v>
      </c>
      <c r="F30" s="7">
        <f t="shared" si="10"/>
        <v>3873.5000000000018</v>
      </c>
      <c r="G30" s="7">
        <f t="shared" si="10"/>
        <v>6066.2999999999993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57</v>
      </c>
      <c r="D34" s="4">
        <v>118</v>
      </c>
      <c r="E34" s="4">
        <v>122</v>
      </c>
      <c r="F34" s="4">
        <v>118</v>
      </c>
      <c r="G34" s="4">
        <v>132</v>
      </c>
    </row>
    <row r="35" spans="2:7" ht="18.75" x14ac:dyDescent="0.25">
      <c r="B35" s="8" t="s">
        <v>118</v>
      </c>
      <c r="C35" s="4">
        <f>C27/C34</f>
        <v>39.347368421052622</v>
      </c>
      <c r="D35" s="4">
        <f t="shared" ref="D35:G35" si="11">D27/D34</f>
        <v>29.322881355932203</v>
      </c>
      <c r="E35" s="4">
        <f t="shared" si="11"/>
        <v>50.485245901639338</v>
      </c>
      <c r="F35" s="4">
        <f t="shared" si="11"/>
        <v>36.340677966101708</v>
      </c>
      <c r="G35" s="4">
        <f t="shared" si="11"/>
        <v>45.956818181818178</v>
      </c>
    </row>
  </sheetData>
  <mergeCells count="1">
    <mergeCell ref="B3:G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09849-8D32-4193-95FB-271010749A11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193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2630.9</v>
      </c>
      <c r="D6" s="16">
        <f>'Income Statement'!D11</f>
        <v>2889.4</v>
      </c>
      <c r="E6" s="16">
        <f>'Income Statement'!E11</f>
        <v>2984.8</v>
      </c>
      <c r="F6" s="16">
        <f>'Income Statement'!F11</f>
        <v>4295.8</v>
      </c>
      <c r="G6" s="16">
        <f>'Income Statement'!G11</f>
        <v>4312.3999999999996</v>
      </c>
    </row>
    <row r="7" spans="2:7" ht="18.75" x14ac:dyDescent="0.25">
      <c r="B7" s="15" t="str">
        <f>'Balance Sheet'!B19</f>
        <v>Total Current Liabilities</v>
      </c>
      <c r="C7" s="16">
        <f>'Balance Sheet'!C19</f>
        <v>4712.6000000000004</v>
      </c>
      <c r="D7" s="16">
        <f>'Balance Sheet'!D19</f>
        <v>4982.2</v>
      </c>
      <c r="E7" s="16">
        <f>'Balance Sheet'!E19</f>
        <v>5840.9</v>
      </c>
      <c r="F7" s="16">
        <f>'Balance Sheet'!F19</f>
        <v>6001.8</v>
      </c>
      <c r="G7" s="16">
        <f>'Balance Sheet'!G19</f>
        <v>7250.3</v>
      </c>
    </row>
    <row r="8" spans="2:7" ht="18.75" x14ac:dyDescent="0.25">
      <c r="B8" s="17" t="s">
        <v>194</v>
      </c>
      <c r="C8" s="17">
        <f>ROUND(365/C6*C7, 2)</f>
        <v>653.80999999999995</v>
      </c>
      <c r="D8" s="17">
        <f t="shared" ref="D8:G8" si="0">ROUND(365/D6*D7, 2)</f>
        <v>629.37</v>
      </c>
      <c r="E8" s="17">
        <f t="shared" si="0"/>
        <v>714.26</v>
      </c>
      <c r="F8" s="17">
        <f t="shared" si="0"/>
        <v>509.95</v>
      </c>
      <c r="G8" s="17">
        <f t="shared" si="0"/>
        <v>613.66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7E79D-63B4-487D-945B-D809AAD04F37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14202.8</v>
      </c>
      <c r="D6" s="16">
        <f>'Income Statement'!D5</f>
        <v>15385.1</v>
      </c>
      <c r="E6" s="16">
        <f>'Income Statement'!E5</f>
        <v>17460</v>
      </c>
      <c r="F6" s="16">
        <f>'Income Statement'!F5</f>
        <v>18972.2</v>
      </c>
      <c r="G6" s="16">
        <f>'Income Statement'!G5</f>
        <v>21439.1</v>
      </c>
    </row>
    <row r="7" spans="2:7" ht="18.75" x14ac:dyDescent="0.25">
      <c r="B7" s="15" t="str">
        <f>'Balance Sheet'!B37</f>
        <v>Trade Receivables</v>
      </c>
      <c r="C7" s="16">
        <f>'Balance Sheet'!C37</f>
        <v>4052.7</v>
      </c>
      <c r="D7" s="16">
        <f>'Balance Sheet'!D37</f>
        <v>3986.9</v>
      </c>
      <c r="E7" s="16">
        <f>'Balance Sheet'!E37</f>
        <v>5027.8</v>
      </c>
      <c r="F7" s="16">
        <f>'Balance Sheet'!F37</f>
        <v>4964.1000000000004</v>
      </c>
      <c r="G7" s="16">
        <f>'Balance Sheet'!G37</f>
        <v>6676.4</v>
      </c>
    </row>
    <row r="8" spans="2:7" ht="18.75" x14ac:dyDescent="0.25">
      <c r="B8" s="17" t="s">
        <v>196</v>
      </c>
      <c r="C8" s="17">
        <f>ROUND(365/C6*C7, 2)</f>
        <v>104.15</v>
      </c>
      <c r="D8" s="17">
        <f t="shared" ref="D8:G8" si="0">ROUND(365/D6*D7, 2)</f>
        <v>94.59</v>
      </c>
      <c r="E8" s="17">
        <f t="shared" si="0"/>
        <v>105.11</v>
      </c>
      <c r="F8" s="17">
        <f t="shared" si="0"/>
        <v>95.5</v>
      </c>
      <c r="G8" s="17">
        <f t="shared" si="0"/>
        <v>113.67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31331-1767-48E9-A239-2E2581DA942D}">
  <dimension ref="B3:G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14202.8</v>
      </c>
      <c r="D6" s="16">
        <f>'Income Statement'!D5</f>
        <v>15385.1</v>
      </c>
      <c r="E6" s="16">
        <f>'Income Statement'!E5</f>
        <v>17460</v>
      </c>
      <c r="F6" s="16">
        <f>'Income Statement'!F5</f>
        <v>18972.2</v>
      </c>
      <c r="G6" s="16">
        <f>'Income Statement'!G5</f>
        <v>21439.1</v>
      </c>
    </row>
    <row r="7" spans="2:7" ht="18.75" x14ac:dyDescent="0.25">
      <c r="B7" s="15" t="str">
        <f>'Balance Sheet'!B36</f>
        <v>Inventories</v>
      </c>
      <c r="C7" s="16">
        <f>'Balance Sheet'!C36</f>
        <v>2908.9</v>
      </c>
      <c r="D7" s="16">
        <f>'Balance Sheet'!D36</f>
        <v>3357.9</v>
      </c>
      <c r="E7" s="16">
        <f>'Balance Sheet'!E36</f>
        <v>3506.7</v>
      </c>
      <c r="F7" s="16">
        <f>'Balance Sheet'!F36</f>
        <v>4541.2</v>
      </c>
      <c r="G7" s="16">
        <f>'Balance Sheet'!G36</f>
        <v>5088.3999999999996</v>
      </c>
    </row>
    <row r="8" spans="2:7" ht="18.75" x14ac:dyDescent="0.25">
      <c r="B8" s="15" t="s">
        <v>192</v>
      </c>
      <c r="C8" s="16">
        <f>ROUND(365/C6*C7, 2)</f>
        <v>74.760000000000005</v>
      </c>
      <c r="D8" s="16">
        <f t="shared" ref="D8:G8" si="0">ROUND(365/D6*D7, 2)</f>
        <v>79.66</v>
      </c>
      <c r="E8" s="16">
        <f t="shared" si="0"/>
        <v>73.31</v>
      </c>
      <c r="F8" s="16">
        <f t="shared" si="0"/>
        <v>87.37</v>
      </c>
      <c r="G8" s="16">
        <f t="shared" si="0"/>
        <v>86.63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2630.9</v>
      </c>
      <c r="D9" s="16">
        <f>'Income Statement'!D11</f>
        <v>2889.4</v>
      </c>
      <c r="E9" s="16">
        <f>'Income Statement'!E11</f>
        <v>2984.8</v>
      </c>
      <c r="F9" s="16">
        <f>'Income Statement'!F11</f>
        <v>4295.8</v>
      </c>
      <c r="G9" s="16">
        <f>'Income Statement'!G11</f>
        <v>4312.3999999999996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4712.6000000000004</v>
      </c>
      <c r="D10" s="16">
        <f>'Balance Sheet'!D19</f>
        <v>4982.2</v>
      </c>
      <c r="E10" s="16">
        <f>'Balance Sheet'!E19</f>
        <v>5840.9</v>
      </c>
      <c r="F10" s="16">
        <f>'Balance Sheet'!F19</f>
        <v>6001.8</v>
      </c>
      <c r="G10" s="16">
        <f>'Balance Sheet'!G19</f>
        <v>7250.3</v>
      </c>
    </row>
    <row r="11" spans="2:7" ht="18.75" x14ac:dyDescent="0.25">
      <c r="B11" s="15" t="s">
        <v>194</v>
      </c>
      <c r="C11" s="16">
        <f>ROUND(365/C9*C10, 2)</f>
        <v>653.80999999999995</v>
      </c>
      <c r="D11" s="16">
        <f t="shared" ref="D11:G11" si="1">ROUND(365/D9*D10, 2)</f>
        <v>629.37</v>
      </c>
      <c r="E11" s="16">
        <f t="shared" si="1"/>
        <v>714.26</v>
      </c>
      <c r="F11" s="16">
        <f t="shared" si="1"/>
        <v>509.95</v>
      </c>
      <c r="G11" s="16">
        <f t="shared" si="1"/>
        <v>613.66</v>
      </c>
    </row>
    <row r="12" spans="2:7" ht="18.75" x14ac:dyDescent="0.25">
      <c r="B12" s="17" t="s">
        <v>198</v>
      </c>
      <c r="C12" s="28">
        <f>ROUND(C11+C8, 2)</f>
        <v>728.57</v>
      </c>
      <c r="D12" s="28">
        <f t="shared" ref="D12:G12" si="2">ROUND(D11+D8, 2)</f>
        <v>709.03</v>
      </c>
      <c r="E12" s="28">
        <f t="shared" si="2"/>
        <v>787.57</v>
      </c>
      <c r="F12" s="28">
        <f t="shared" si="2"/>
        <v>597.32000000000005</v>
      </c>
      <c r="G12" s="28">
        <f t="shared" si="2"/>
        <v>700.29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80B43-5457-46A0-AFBB-4A126DA9A39D}">
  <dimension ref="B3:G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199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14202.8</v>
      </c>
      <c r="D6" s="16">
        <f>'Income Statement'!D5</f>
        <v>15385.1</v>
      </c>
      <c r="E6" s="16">
        <f>'Income Statement'!E5</f>
        <v>17460</v>
      </c>
      <c r="F6" s="16">
        <f>'Income Statement'!F5</f>
        <v>18972.2</v>
      </c>
      <c r="G6" s="16">
        <f>'Income Statement'!G5</f>
        <v>21439.1</v>
      </c>
    </row>
    <row r="7" spans="2:7" ht="18.75" x14ac:dyDescent="0.25">
      <c r="B7" s="15" t="str">
        <f>'Balance Sheet'!B36</f>
        <v>Inventories</v>
      </c>
      <c r="C7" s="16">
        <f>'Balance Sheet'!C36</f>
        <v>2908.9</v>
      </c>
      <c r="D7" s="16">
        <f>'Balance Sheet'!D36</f>
        <v>3357.9</v>
      </c>
      <c r="E7" s="16">
        <f>'Balance Sheet'!E36</f>
        <v>3506.7</v>
      </c>
      <c r="F7" s="16">
        <f>'Balance Sheet'!F36</f>
        <v>4541.2</v>
      </c>
      <c r="G7" s="16">
        <f>'Balance Sheet'!G36</f>
        <v>5088.3999999999996</v>
      </c>
    </row>
    <row r="8" spans="2:7" ht="18.75" x14ac:dyDescent="0.25">
      <c r="B8" s="15" t="s">
        <v>192</v>
      </c>
      <c r="C8" s="16">
        <f>ROUND(365/C6*C7, 2)</f>
        <v>74.760000000000005</v>
      </c>
      <c r="D8" s="16">
        <f t="shared" ref="D8:G8" si="0">ROUND(365/D6*D7, 2)</f>
        <v>79.66</v>
      </c>
      <c r="E8" s="16">
        <f t="shared" si="0"/>
        <v>73.31</v>
      </c>
      <c r="F8" s="16">
        <f t="shared" si="0"/>
        <v>87.37</v>
      </c>
      <c r="G8" s="16">
        <f t="shared" si="0"/>
        <v>86.63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2630.9</v>
      </c>
      <c r="D9" s="16">
        <f>'Income Statement'!D11</f>
        <v>2889.4</v>
      </c>
      <c r="E9" s="16">
        <f>'Income Statement'!E11</f>
        <v>2984.8</v>
      </c>
      <c r="F9" s="16">
        <f>'Income Statement'!F11</f>
        <v>4295.8</v>
      </c>
      <c r="G9" s="16">
        <f>'Income Statement'!G11</f>
        <v>4312.3999999999996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4712.6000000000004</v>
      </c>
      <c r="D10" s="16">
        <f>'Balance Sheet'!D19</f>
        <v>4982.2</v>
      </c>
      <c r="E10" s="16">
        <f>'Balance Sheet'!E19</f>
        <v>5840.9</v>
      </c>
      <c r="F10" s="16">
        <f>'Balance Sheet'!F19</f>
        <v>6001.8</v>
      </c>
      <c r="G10" s="16">
        <f>'Balance Sheet'!G19</f>
        <v>7250.3</v>
      </c>
    </row>
    <row r="11" spans="2:7" ht="18.75" x14ac:dyDescent="0.25">
      <c r="B11" s="15" t="s">
        <v>194</v>
      </c>
      <c r="C11" s="16">
        <f>ROUND(365/C9*C10, 2)</f>
        <v>653.80999999999995</v>
      </c>
      <c r="D11" s="16">
        <f t="shared" ref="D11:G11" si="1">ROUND(365/D9*D10, 2)</f>
        <v>629.37</v>
      </c>
      <c r="E11" s="16">
        <f t="shared" si="1"/>
        <v>714.26</v>
      </c>
      <c r="F11" s="16">
        <f t="shared" si="1"/>
        <v>509.95</v>
      </c>
      <c r="G11" s="16">
        <f t="shared" si="1"/>
        <v>613.66</v>
      </c>
    </row>
    <row r="12" spans="2:7" ht="18.75" x14ac:dyDescent="0.25">
      <c r="B12" s="15" t="s">
        <v>200</v>
      </c>
      <c r="C12" s="16">
        <f>ROUND(C11+C8, 2)</f>
        <v>728.57</v>
      </c>
      <c r="D12" s="16">
        <f t="shared" ref="D12:G12" si="2">ROUND(D11+D8, 2)</f>
        <v>709.03</v>
      </c>
      <c r="E12" s="16">
        <f t="shared" si="2"/>
        <v>787.57</v>
      </c>
      <c r="F12" s="16">
        <f t="shared" si="2"/>
        <v>597.32000000000005</v>
      </c>
      <c r="G12" s="16">
        <f t="shared" si="2"/>
        <v>700.29</v>
      </c>
    </row>
    <row r="13" spans="2:7" ht="18.75" x14ac:dyDescent="0.25">
      <c r="B13" s="15" t="str">
        <f>'Income Statement'!B11</f>
        <v>Cost Of Materials Consumed</v>
      </c>
      <c r="C13" s="16">
        <f>'Income Statement'!C11</f>
        <v>2630.9</v>
      </c>
      <c r="D13" s="16">
        <f>'Income Statement'!D11</f>
        <v>2889.4</v>
      </c>
      <c r="E13" s="16">
        <f>'Income Statement'!E11</f>
        <v>2984.8</v>
      </c>
      <c r="F13" s="16">
        <f>'Income Statement'!F11</f>
        <v>4295.8</v>
      </c>
      <c r="G13" s="16">
        <f>'Income Statement'!G11</f>
        <v>4312.3999999999996</v>
      </c>
    </row>
    <row r="14" spans="2:7" ht="18.75" x14ac:dyDescent="0.25">
      <c r="B14" s="15" t="str">
        <f>'Balance Sheet'!B19</f>
        <v>Total Current Liabilities</v>
      </c>
      <c r="C14" s="16">
        <f>'Balance Sheet'!C19</f>
        <v>4712.6000000000004</v>
      </c>
      <c r="D14" s="16">
        <f>'Balance Sheet'!D19</f>
        <v>4982.2</v>
      </c>
      <c r="E14" s="16">
        <f>'Balance Sheet'!E19</f>
        <v>5840.9</v>
      </c>
      <c r="F14" s="16">
        <f>'Balance Sheet'!F19</f>
        <v>6001.8</v>
      </c>
      <c r="G14" s="16">
        <f>'Balance Sheet'!G19</f>
        <v>7250.3</v>
      </c>
    </row>
    <row r="15" spans="2:7" ht="18.75" x14ac:dyDescent="0.25">
      <c r="B15" s="15" t="s">
        <v>194</v>
      </c>
      <c r="C15" s="16">
        <f>ROUND(365/C13*C14, 2)</f>
        <v>653.80999999999995</v>
      </c>
      <c r="D15" s="16">
        <f t="shared" ref="D15:G15" si="3">ROUND(365/D13*D14, 2)</f>
        <v>629.37</v>
      </c>
      <c r="E15" s="16">
        <f t="shared" si="3"/>
        <v>714.26</v>
      </c>
      <c r="F15" s="16">
        <f t="shared" si="3"/>
        <v>509.95</v>
      </c>
      <c r="G15" s="16">
        <f t="shared" si="3"/>
        <v>613.66</v>
      </c>
    </row>
    <row r="16" spans="2:7" ht="18.75" x14ac:dyDescent="0.25">
      <c r="B16" s="17" t="s">
        <v>201</v>
      </c>
      <c r="C16" s="28">
        <f>ROUND(C15-C12, 2)</f>
        <v>-74.760000000000005</v>
      </c>
      <c r="D16" s="28">
        <f t="shared" ref="D16:G16" si="4">ROUND(D15-D12, 2)</f>
        <v>-79.66</v>
      </c>
      <c r="E16" s="28">
        <f t="shared" si="4"/>
        <v>-73.31</v>
      </c>
      <c r="F16" s="28">
        <f t="shared" si="4"/>
        <v>-87.37</v>
      </c>
      <c r="G16" s="28">
        <f t="shared" si="4"/>
        <v>-86.63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DC5D8-130F-466F-915C-D9C2762319E3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Sheet'!B9</f>
        <v>Net Worth</v>
      </c>
      <c r="C5" s="16">
        <f>'Balance Sheet'!C9</f>
        <v>12571.6</v>
      </c>
      <c r="D5" s="16">
        <f>'Balance Sheet'!D9</f>
        <v>15631.5</v>
      </c>
      <c r="E5" s="16">
        <f>'Balance Sheet'!E9</f>
        <v>21399.199999999997</v>
      </c>
      <c r="F5" s="16">
        <f>'Balance Sheet'!F9</f>
        <v>25272.799999999999</v>
      </c>
      <c r="G5" s="16">
        <f>'Balance Sheet'!G9</f>
        <v>31339.1</v>
      </c>
    </row>
    <row r="6" spans="2:7" ht="18.75" x14ac:dyDescent="0.25">
      <c r="B6" s="15" t="str">
        <f>'Balance Sheet'!B21</f>
        <v>Total Liabilities</v>
      </c>
      <c r="C6" s="16">
        <f>'Balance Sheet'!C21</f>
        <v>22544.300000000003</v>
      </c>
      <c r="D6" s="16">
        <f>'Balance Sheet'!D21</f>
        <v>24073.5</v>
      </c>
      <c r="E6" s="16">
        <f>'Balance Sheet'!E21</f>
        <v>29025.699999999997</v>
      </c>
      <c r="F6" s="16">
        <f>'Balance Sheet'!F21</f>
        <v>34247.9</v>
      </c>
      <c r="G6" s="16">
        <f>'Balance Sheet'!G21</f>
        <v>41873.599999999999</v>
      </c>
    </row>
  </sheetData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0DEA4-E5F8-46C8-9C6F-E9C8415912A3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Statement'!B17</f>
        <v>PBDIT</v>
      </c>
      <c r="C5" s="16">
        <f>'Income Statement'!C17</f>
        <v>3836.7999999999993</v>
      </c>
      <c r="D5" s="16">
        <f>'Income Statement'!D17</f>
        <v>5069.6000000000004</v>
      </c>
      <c r="E5" s="16">
        <f>'Income Statement'!E17</f>
        <v>7280.2999999999993</v>
      </c>
      <c r="F5" s="16">
        <f>'Income Statement'!F17</f>
        <v>6545.9000000000015</v>
      </c>
      <c r="G5" s="16">
        <f>'Income Statement'!G17</f>
        <v>8206.1999999999989</v>
      </c>
    </row>
    <row r="6" spans="2:7" ht="18.75" x14ac:dyDescent="0.25">
      <c r="B6" s="15" t="str">
        <f>'Income Statement'!B19</f>
        <v>PBIT</v>
      </c>
      <c r="C6" s="16">
        <f>'Income Statement'!C19</f>
        <v>2759.5999999999995</v>
      </c>
      <c r="D6" s="16">
        <f>'Income Statement'!D19</f>
        <v>3934.8</v>
      </c>
      <c r="E6" s="16">
        <f>'Income Statement'!E19</f>
        <v>6117.1999999999989</v>
      </c>
      <c r="F6" s="16">
        <f>'Income Statement'!F19</f>
        <v>5317.1000000000013</v>
      </c>
      <c r="G6" s="16">
        <f>'Income Statement'!G19</f>
        <v>7040.9999999999991</v>
      </c>
    </row>
  </sheetData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CE2BE-8F7B-48DB-9FEA-BA7EAE319397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3" width="11.5703125" bestFit="1" customWidth="1"/>
    <col min="4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Sheet'!B39</f>
        <v>Total Current Assets</v>
      </c>
      <c r="C5" s="16">
        <f>'Balance Sheet'!C39</f>
        <v>9807.5</v>
      </c>
      <c r="D5" s="16">
        <f>'Balance Sheet'!D39</f>
        <v>15423.599999999999</v>
      </c>
      <c r="E5" s="16">
        <f>'Balance Sheet'!E39</f>
        <v>21850.399999999998</v>
      </c>
      <c r="F5" s="16">
        <f>'Balance Sheet'!F39</f>
        <v>26367.199999999997</v>
      </c>
      <c r="G5" s="16">
        <f>'Balance Sheet'!G39</f>
        <v>35082</v>
      </c>
    </row>
    <row r="6" spans="2:7" ht="18.75" x14ac:dyDescent="0.25">
      <c r="B6" s="15" t="str">
        <f>'Balance Sheet'!B19</f>
        <v>Total Current Liabilities</v>
      </c>
      <c r="C6" s="16">
        <f>'Balance Sheet'!C19</f>
        <v>4712.6000000000004</v>
      </c>
      <c r="D6" s="16">
        <f>'Balance Sheet'!D19</f>
        <v>4982.2</v>
      </c>
      <c r="E6" s="16">
        <f>'Balance Sheet'!E19</f>
        <v>5840.9</v>
      </c>
      <c r="F6" s="16">
        <f>'Balance Sheet'!F19</f>
        <v>6001.8</v>
      </c>
      <c r="G6" s="16">
        <f>'Balance Sheet'!G19</f>
        <v>7250.3</v>
      </c>
    </row>
  </sheetData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DF520-A4BA-499A-9D2E-CAE0BBB33DE8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7" width="10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Sheet'!B14</f>
        <v>Long Term Provisions</v>
      </c>
      <c r="C5" s="16">
        <f>'Balance Sheet'!C14</f>
        <v>81.7</v>
      </c>
      <c r="D5" s="16">
        <f>'Balance Sheet'!D14</f>
        <v>79.3</v>
      </c>
      <c r="E5" s="16">
        <f>'Balance Sheet'!E14</f>
        <v>74.5</v>
      </c>
      <c r="F5" s="16">
        <f>'Balance Sheet'!F14</f>
        <v>50.8</v>
      </c>
      <c r="G5" s="16">
        <f>'Balance Sheet'!G14</f>
        <v>25.8</v>
      </c>
    </row>
    <row r="6" spans="2:7" ht="18.75" x14ac:dyDescent="0.25">
      <c r="B6" s="15" t="str">
        <f>'Balance Sheet'!B15</f>
        <v>Short Term Provisions</v>
      </c>
      <c r="C6" s="16">
        <f>'Balance Sheet'!C15</f>
        <v>438.7</v>
      </c>
      <c r="D6" s="16">
        <f>'Balance Sheet'!D15</f>
        <v>478.9</v>
      </c>
      <c r="E6" s="16">
        <f>'Balance Sheet'!E15</f>
        <v>466.9</v>
      </c>
      <c r="F6" s="16">
        <f>'Balance Sheet'!F15</f>
        <v>501.5</v>
      </c>
      <c r="G6" s="16">
        <f>'Balance Sheet'!G15</f>
        <v>586.6</v>
      </c>
    </row>
  </sheetData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1AF40-2718-46B6-ACD9-550ECE57630D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Statement'!B11</f>
        <v>Cost Of Materials Consumed</v>
      </c>
      <c r="C5" s="16">
        <f>'Income Statement'!C11</f>
        <v>2630.9</v>
      </c>
      <c r="D5" s="16">
        <f>'Income Statement'!D11</f>
        <v>2889.4</v>
      </c>
      <c r="E5" s="16">
        <f>'Income Statement'!E11</f>
        <v>2984.8</v>
      </c>
      <c r="F5" s="16">
        <f>'Income Statement'!F11</f>
        <v>4295.8</v>
      </c>
      <c r="G5" s="16">
        <f>'Income Statement'!G11</f>
        <v>4312.3999999999996</v>
      </c>
    </row>
    <row r="6" spans="2:7" ht="18.75" x14ac:dyDescent="0.25">
      <c r="B6" s="15" t="str">
        <f>'Income Statement'!B12</f>
        <v>Operating And Direct Expenses</v>
      </c>
      <c r="C6" s="16">
        <f>'Income Statement'!C12</f>
        <v>0</v>
      </c>
      <c r="D6" s="16">
        <f>'Income Statement'!D12</f>
        <v>0</v>
      </c>
      <c r="E6" s="16">
        <f>'Income Statement'!E12</f>
        <v>0</v>
      </c>
      <c r="F6" s="16">
        <f>'Income Statement'!F12</f>
        <v>0</v>
      </c>
      <c r="G6" s="16">
        <f>'Income Statement'!G12</f>
        <v>0</v>
      </c>
    </row>
  </sheetData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78291-1728-4409-B3E3-07C7163FBD64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Statement'!B5</f>
        <v>Gross Sales</v>
      </c>
      <c r="C5" s="16">
        <f>'Income Statement'!C5</f>
        <v>14202.8</v>
      </c>
      <c r="D5" s="16">
        <f>'Income Statement'!D5</f>
        <v>15385.1</v>
      </c>
      <c r="E5" s="16">
        <f>'Income Statement'!E5</f>
        <v>17460</v>
      </c>
      <c r="F5" s="16">
        <f>'Income Statement'!F5</f>
        <v>18972.2</v>
      </c>
      <c r="G5" s="16">
        <f>'Income Statement'!G5</f>
        <v>21439.1</v>
      </c>
    </row>
    <row r="6" spans="2:7" ht="18.75" x14ac:dyDescent="0.25">
      <c r="B6" s="15" t="str">
        <f>'Income Statement'!B10</f>
        <v>Total Income</v>
      </c>
      <c r="C6" s="16">
        <f>'Income Statement'!C10</f>
        <v>14358</v>
      </c>
      <c r="D6" s="16">
        <f>'Income Statement'!D10</f>
        <v>15722.6</v>
      </c>
      <c r="E6" s="16">
        <f>'Income Statement'!E10</f>
        <v>18080.599999999999</v>
      </c>
      <c r="F6" s="16">
        <f>'Income Statement'!F10</f>
        <v>19263.600000000002</v>
      </c>
      <c r="G6" s="16">
        <f>'Income Statement'!G10</f>
        <v>21923.5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4555D-60FE-4EC1-B6E6-3EB494D8B1AA}">
  <dimension ref="B3:G40"/>
  <sheetViews>
    <sheetView showGridLines="0" topLeftCell="A30" workbookViewId="0">
      <selection activeCell="D38" sqref="D38:G38"/>
    </sheetView>
  </sheetViews>
  <sheetFormatPr defaultRowHeight="15" x14ac:dyDescent="0.25"/>
  <cols>
    <col min="2" max="2" width="46" bestFit="1" customWidth="1"/>
    <col min="3" max="7" width="15.42578125" bestFit="1" customWidth="1"/>
  </cols>
  <sheetData>
    <row r="3" spans="2:7" ht="18.75" x14ac:dyDescent="0.25">
      <c r="B3" s="10" t="s">
        <v>128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5</v>
      </c>
      <c r="C5" s="4">
        <v>83</v>
      </c>
      <c r="D5" s="4">
        <v>83</v>
      </c>
      <c r="E5" s="4">
        <v>83.1</v>
      </c>
      <c r="F5" s="4">
        <v>83.2</v>
      </c>
      <c r="G5" s="4">
        <v>83.2</v>
      </c>
    </row>
    <row r="6" spans="2:7" ht="18.75" x14ac:dyDescent="0.25">
      <c r="B6" s="8" t="s">
        <v>121</v>
      </c>
      <c r="C6" s="4"/>
      <c r="D6" s="4"/>
      <c r="E6" s="4"/>
      <c r="F6" s="4"/>
      <c r="G6" s="4"/>
    </row>
    <row r="7" spans="2:7" ht="18.75" x14ac:dyDescent="0.25">
      <c r="B7" s="9" t="s">
        <v>6</v>
      </c>
      <c r="C7" s="6">
        <f>C5+C6</f>
        <v>83</v>
      </c>
      <c r="D7" s="6">
        <f t="shared" ref="D7:G7" si="0">D5+D6</f>
        <v>83</v>
      </c>
      <c r="E7" s="6">
        <f t="shared" si="0"/>
        <v>83.1</v>
      </c>
      <c r="F7" s="6">
        <f t="shared" si="0"/>
        <v>83.2</v>
      </c>
      <c r="G7" s="6">
        <f t="shared" si="0"/>
        <v>83.2</v>
      </c>
    </row>
    <row r="8" spans="2:7" ht="18.75" x14ac:dyDescent="0.25">
      <c r="B8" s="8" t="s">
        <v>7</v>
      </c>
      <c r="C8" s="5">
        <v>12488.6</v>
      </c>
      <c r="D8" s="5">
        <f>'Income Statement'!D30+C8</f>
        <v>15548.5</v>
      </c>
      <c r="E8" s="5">
        <f>'Income Statement'!E30+D8</f>
        <v>21316.1</v>
      </c>
      <c r="F8" s="5">
        <f>'Income Statement'!F30+E8</f>
        <v>25189.599999999999</v>
      </c>
      <c r="G8" s="5">
        <f>'Income Statement'!G30+F8</f>
        <v>31255.899999999998</v>
      </c>
    </row>
    <row r="9" spans="2:7" ht="18.75" x14ac:dyDescent="0.25">
      <c r="B9" s="9" t="s">
        <v>122</v>
      </c>
      <c r="C9" s="7">
        <f>C7+C8</f>
        <v>12571.6</v>
      </c>
      <c r="D9" s="7">
        <f t="shared" ref="D9:G9" si="1">D7+D8</f>
        <v>15631.5</v>
      </c>
      <c r="E9" s="7">
        <f t="shared" si="1"/>
        <v>21399.199999999997</v>
      </c>
      <c r="F9" s="7">
        <f t="shared" si="1"/>
        <v>25272.799999999999</v>
      </c>
      <c r="G9" s="7">
        <f t="shared" si="1"/>
        <v>31339.1</v>
      </c>
    </row>
    <row r="10" spans="2:7" ht="18.75" x14ac:dyDescent="0.25">
      <c r="B10" s="8" t="s">
        <v>12</v>
      </c>
      <c r="C10" s="4">
        <v>2508.9</v>
      </c>
      <c r="D10" s="4">
        <v>2200</v>
      </c>
      <c r="E10" s="4">
        <v>130.4</v>
      </c>
      <c r="F10" s="5">
        <v>629.9</v>
      </c>
      <c r="G10" s="5">
        <v>574.6</v>
      </c>
    </row>
    <row r="11" spans="2:7" ht="18.75" x14ac:dyDescent="0.25">
      <c r="B11" s="8" t="s">
        <v>13</v>
      </c>
      <c r="C11" s="4">
        <v>195</v>
      </c>
      <c r="D11" s="4">
        <v>47.3</v>
      </c>
      <c r="E11" s="4">
        <v>2</v>
      </c>
      <c r="F11" s="4">
        <v>28.9</v>
      </c>
      <c r="G11" s="4">
        <v>1.4</v>
      </c>
    </row>
    <row r="12" spans="2:7" ht="18.75" x14ac:dyDescent="0.25">
      <c r="B12" s="8" t="s">
        <v>18</v>
      </c>
      <c r="C12" s="5">
        <v>2556.1999999999998</v>
      </c>
      <c r="D12" s="5">
        <v>1212.5</v>
      </c>
      <c r="E12" s="5">
        <v>1653.2</v>
      </c>
      <c r="F12" s="5">
        <v>2314.5</v>
      </c>
      <c r="G12" s="5">
        <v>2708.2</v>
      </c>
    </row>
    <row r="13" spans="2:7" ht="18.75" x14ac:dyDescent="0.25">
      <c r="B13" s="9" t="s">
        <v>123</v>
      </c>
      <c r="C13" s="7">
        <f>C10+C11+C12</f>
        <v>5260.1</v>
      </c>
      <c r="D13" s="7">
        <f t="shared" ref="D13:G13" si="2">D10+D11+D12</f>
        <v>3459.8</v>
      </c>
      <c r="E13" s="7">
        <f t="shared" si="2"/>
        <v>1785.6000000000001</v>
      </c>
      <c r="F13" s="7">
        <f t="shared" si="2"/>
        <v>2973.3</v>
      </c>
      <c r="G13" s="7">
        <f t="shared" si="2"/>
        <v>3284.2</v>
      </c>
    </row>
    <row r="14" spans="2:7" ht="18.75" x14ac:dyDescent="0.25">
      <c r="B14" s="8" t="s">
        <v>15</v>
      </c>
      <c r="C14" s="4">
        <v>81.7</v>
      </c>
      <c r="D14" s="4">
        <v>79.3</v>
      </c>
      <c r="E14" s="4">
        <v>74.5</v>
      </c>
      <c r="F14" s="4">
        <v>50.8</v>
      </c>
      <c r="G14" s="4">
        <v>25.8</v>
      </c>
    </row>
    <row r="15" spans="2:7" ht="18.75" x14ac:dyDescent="0.25">
      <c r="B15" s="8" t="s">
        <v>21</v>
      </c>
      <c r="C15" s="4">
        <v>438.7</v>
      </c>
      <c r="D15" s="4">
        <v>478.9</v>
      </c>
      <c r="E15" s="4">
        <v>466.9</v>
      </c>
      <c r="F15" s="4">
        <v>501.5</v>
      </c>
      <c r="G15" s="4">
        <v>586.6</v>
      </c>
    </row>
    <row r="16" spans="2:7" ht="18.75" x14ac:dyDescent="0.25">
      <c r="B16" s="8" t="s">
        <v>14</v>
      </c>
      <c r="C16" s="4">
        <v>293.3</v>
      </c>
      <c r="D16" s="4">
        <v>218.1</v>
      </c>
      <c r="E16" s="4">
        <v>205.5</v>
      </c>
      <c r="F16" s="4">
        <v>161.69999999999999</v>
      </c>
      <c r="G16" s="4">
        <v>166.9</v>
      </c>
    </row>
    <row r="17" spans="2:7" ht="18.75" x14ac:dyDescent="0.25">
      <c r="B17" s="8" t="s">
        <v>19</v>
      </c>
      <c r="C17" s="5">
        <v>1334.5</v>
      </c>
      <c r="D17" s="5">
        <v>1367.1</v>
      </c>
      <c r="E17" s="5">
        <v>1524.8</v>
      </c>
      <c r="F17" s="5">
        <v>1810.9</v>
      </c>
      <c r="G17" s="5">
        <v>2266.1999999999998</v>
      </c>
    </row>
    <row r="18" spans="2:7" ht="18.75" x14ac:dyDescent="0.25">
      <c r="B18" s="8" t="s">
        <v>20</v>
      </c>
      <c r="C18" s="5">
        <v>2564.4</v>
      </c>
      <c r="D18" s="5">
        <v>2838.8</v>
      </c>
      <c r="E18" s="5">
        <v>3569.2</v>
      </c>
      <c r="F18" s="5">
        <v>3476.9</v>
      </c>
      <c r="G18" s="5">
        <v>4204.8</v>
      </c>
    </row>
    <row r="19" spans="2:7" ht="18.75" x14ac:dyDescent="0.25">
      <c r="B19" s="9" t="s">
        <v>22</v>
      </c>
      <c r="C19" s="7">
        <f>C14+C15+C16+C17+C18</f>
        <v>4712.6000000000004</v>
      </c>
      <c r="D19" s="7">
        <f t="shared" ref="D19:G19" si="3">D14+D15+D16+D17+D18</f>
        <v>4982.2</v>
      </c>
      <c r="E19" s="7">
        <f t="shared" si="3"/>
        <v>5840.9</v>
      </c>
      <c r="F19" s="7">
        <f t="shared" si="3"/>
        <v>6001.8</v>
      </c>
      <c r="G19" s="7">
        <f t="shared" si="3"/>
        <v>7250.3</v>
      </c>
    </row>
    <row r="20" spans="2:7" ht="18.75" x14ac:dyDescent="0.25">
      <c r="B20" s="8" t="s">
        <v>10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</row>
    <row r="21" spans="2:7" ht="18.75" x14ac:dyDescent="0.25">
      <c r="B21" s="9" t="s">
        <v>124</v>
      </c>
      <c r="C21" s="7">
        <f>C9+C13+C19+C20</f>
        <v>22544.300000000003</v>
      </c>
      <c r="D21" s="7">
        <f t="shared" ref="D21:G21" si="4">D9+D13+D19+D20</f>
        <v>24073.5</v>
      </c>
      <c r="E21" s="7">
        <f t="shared" si="4"/>
        <v>29025.699999999997</v>
      </c>
      <c r="F21" s="7">
        <f t="shared" si="4"/>
        <v>34247.9</v>
      </c>
      <c r="G21" s="7">
        <f t="shared" si="4"/>
        <v>41873.599999999999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4973.3</v>
      </c>
      <c r="D23" s="5">
        <v>4912.7</v>
      </c>
      <c r="E23" s="5">
        <v>4777.8999999999996</v>
      </c>
      <c r="F23" s="5">
        <v>4732.2</v>
      </c>
      <c r="G23" s="5">
        <v>8867.6</v>
      </c>
    </row>
    <row r="24" spans="2:7" ht="18.75" x14ac:dyDescent="0.25">
      <c r="B24" s="8" t="s">
        <v>27</v>
      </c>
      <c r="C24" s="4">
        <v>1461.6</v>
      </c>
      <c r="D24" s="5">
        <v>1812.4</v>
      </c>
      <c r="E24" s="5">
        <v>1581.1</v>
      </c>
      <c r="F24" s="5">
        <v>2913.6</v>
      </c>
      <c r="G24" s="5">
        <v>0</v>
      </c>
    </row>
    <row r="25" spans="2:7" ht="18.75" x14ac:dyDescent="0.25">
      <c r="B25" s="8" t="s">
        <v>125</v>
      </c>
      <c r="C25" s="4"/>
      <c r="D25" s="5">
        <f>'Income Statement'!D18</f>
        <v>1134.8</v>
      </c>
      <c r="E25" s="5">
        <f>'Income Statement'!E18+D25</f>
        <v>2297.8999999999996</v>
      </c>
      <c r="F25" s="5">
        <f>'Income Statement'!F18+E25</f>
        <v>3526.7</v>
      </c>
      <c r="G25" s="5">
        <f>'Income Statement'!G18+F25</f>
        <v>4691.8999999999996</v>
      </c>
    </row>
    <row r="26" spans="2:7" ht="18.75" x14ac:dyDescent="0.25">
      <c r="B26" s="9" t="s">
        <v>126</v>
      </c>
      <c r="C26" s="7">
        <f>C23+C24-C25</f>
        <v>6434.9</v>
      </c>
      <c r="D26" s="7">
        <f t="shared" ref="D26:G26" si="5">D23+D24-D25</f>
        <v>5590.3</v>
      </c>
      <c r="E26" s="7">
        <f t="shared" si="5"/>
        <v>4061.1000000000004</v>
      </c>
      <c r="F26" s="7">
        <f t="shared" si="5"/>
        <v>4119.0999999999995</v>
      </c>
      <c r="G26" s="7">
        <f t="shared" si="5"/>
        <v>4175.7000000000007</v>
      </c>
    </row>
    <row r="27" spans="2:7" ht="18.75" x14ac:dyDescent="0.25">
      <c r="B27" s="8" t="s">
        <v>30</v>
      </c>
      <c r="C27" s="4">
        <v>465.3</v>
      </c>
      <c r="D27" s="4">
        <v>334.2</v>
      </c>
      <c r="E27" s="4">
        <v>309.10000000000002</v>
      </c>
      <c r="F27" s="4">
        <v>833.3</v>
      </c>
      <c r="G27" s="4">
        <v>598.6</v>
      </c>
    </row>
    <row r="28" spans="2:7" ht="18.75" x14ac:dyDescent="0.25">
      <c r="B28" s="8" t="s">
        <v>36</v>
      </c>
      <c r="C28" s="5">
        <v>1833</v>
      </c>
      <c r="D28" s="5">
        <v>2252.9</v>
      </c>
      <c r="E28" s="5">
        <v>2368.6999999999998</v>
      </c>
      <c r="F28" s="5">
        <v>1974.4</v>
      </c>
      <c r="G28" s="5">
        <v>2017.3</v>
      </c>
    </row>
    <row r="29" spans="2:7" ht="18.75" x14ac:dyDescent="0.25">
      <c r="B29" s="8" t="s">
        <v>28</v>
      </c>
      <c r="C29" s="4">
        <v>4003.6000000000004</v>
      </c>
      <c r="D29" s="4">
        <v>472.5</v>
      </c>
      <c r="E29" s="4">
        <v>436.4</v>
      </c>
      <c r="F29" s="4">
        <v>953.9</v>
      </c>
      <c r="G29" s="4">
        <v>0</v>
      </c>
    </row>
    <row r="30" spans="2:7" ht="18.75" x14ac:dyDescent="0.25">
      <c r="B30" s="9" t="s">
        <v>127</v>
      </c>
      <c r="C30" s="7">
        <f>C26+C27+C28+C29</f>
        <v>12736.800000000001</v>
      </c>
      <c r="D30" s="7">
        <f t="shared" ref="D30:G30" si="6">D26+D27+D28+D29</f>
        <v>8649.9</v>
      </c>
      <c r="E30" s="7">
        <f t="shared" si="6"/>
        <v>7175.3</v>
      </c>
      <c r="F30" s="7">
        <f t="shared" si="6"/>
        <v>7880.6999999999989</v>
      </c>
      <c r="G30" s="7">
        <f t="shared" si="6"/>
        <v>6791.6000000000013</v>
      </c>
    </row>
    <row r="31" spans="2:7" ht="18.75" x14ac:dyDescent="0.25">
      <c r="B31" s="8" t="s">
        <v>31</v>
      </c>
      <c r="C31" s="5">
        <v>540.5</v>
      </c>
      <c r="D31" s="5">
        <v>431.7</v>
      </c>
      <c r="E31" s="5">
        <v>1219.9000000000001</v>
      </c>
      <c r="F31" s="4">
        <v>1068.5999999999999</v>
      </c>
      <c r="G31" s="4">
        <v>1277</v>
      </c>
    </row>
    <row r="32" spans="2:7" ht="18.75" x14ac:dyDescent="0.25">
      <c r="B32" s="8" t="s">
        <v>32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</row>
    <row r="33" spans="2:7" ht="18.75" x14ac:dyDescent="0.25">
      <c r="B33" s="8" t="s">
        <v>33</v>
      </c>
      <c r="C33" s="4">
        <v>601.6</v>
      </c>
      <c r="D33" s="4">
        <v>465.1</v>
      </c>
      <c r="E33" s="4">
        <v>711.8</v>
      </c>
      <c r="F33" s="4">
        <v>393.8</v>
      </c>
      <c r="G33" s="4">
        <v>345.6</v>
      </c>
    </row>
    <row r="34" spans="2:7" ht="18.75" x14ac:dyDescent="0.25">
      <c r="B34" s="8" t="s">
        <v>40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</row>
    <row r="35" spans="2:7" ht="18.75" x14ac:dyDescent="0.25">
      <c r="B35" s="8" t="s">
        <v>41</v>
      </c>
      <c r="C35" s="5">
        <v>1440</v>
      </c>
      <c r="D35" s="5">
        <v>1289.5999999999999</v>
      </c>
      <c r="E35" s="5">
        <v>1490.6</v>
      </c>
      <c r="F35" s="5">
        <v>1587.7</v>
      </c>
      <c r="G35" s="5">
        <v>1909.5</v>
      </c>
    </row>
    <row r="36" spans="2:7" ht="18.75" x14ac:dyDescent="0.25">
      <c r="B36" s="8" t="s">
        <v>37</v>
      </c>
      <c r="C36" s="5">
        <v>2908.9</v>
      </c>
      <c r="D36" s="5">
        <v>3357.9</v>
      </c>
      <c r="E36" s="5">
        <v>3506.7</v>
      </c>
      <c r="F36" s="5">
        <v>4541.2</v>
      </c>
      <c r="G36" s="5">
        <v>5088.3999999999996</v>
      </c>
    </row>
    <row r="37" spans="2:7" ht="18.75" x14ac:dyDescent="0.25">
      <c r="B37" s="8" t="s">
        <v>38</v>
      </c>
      <c r="C37" s="5">
        <v>4052.7</v>
      </c>
      <c r="D37" s="5">
        <v>3986.9</v>
      </c>
      <c r="E37" s="5">
        <v>5027.8</v>
      </c>
      <c r="F37" s="5">
        <v>4964.1000000000004</v>
      </c>
      <c r="G37" s="5">
        <v>6676.4</v>
      </c>
    </row>
    <row r="38" spans="2:7" ht="18.75" x14ac:dyDescent="0.25">
      <c r="B38" s="8" t="s">
        <v>39</v>
      </c>
      <c r="C38" s="5">
        <v>263.8</v>
      </c>
      <c r="D38" s="5">
        <f>'CashFlow Statement'!D48+C38</f>
        <v>5892.4000000000005</v>
      </c>
      <c r="E38" s="5">
        <f>'CashFlow Statement'!E48+D38</f>
        <v>9893.5999999999985</v>
      </c>
      <c r="F38" s="5">
        <f>'CashFlow Statement'!F48+E38</f>
        <v>13811.8</v>
      </c>
      <c r="G38" s="5">
        <f>'CashFlow Statement'!G48+F38</f>
        <v>19785.099999999999</v>
      </c>
    </row>
    <row r="39" spans="2:7" ht="18.75" x14ac:dyDescent="0.25">
      <c r="B39" s="9" t="s">
        <v>42</v>
      </c>
      <c r="C39" s="7">
        <f>C31+C32+C33+C34+C35+C36+C37+C38</f>
        <v>9807.5</v>
      </c>
      <c r="D39" s="7">
        <f t="shared" ref="D39:G39" si="7">D31+D32+D33+D34+D35+D36+D37+D38</f>
        <v>15423.599999999999</v>
      </c>
      <c r="E39" s="7">
        <f t="shared" si="7"/>
        <v>21850.399999999998</v>
      </c>
      <c r="F39" s="7">
        <f t="shared" si="7"/>
        <v>26367.199999999997</v>
      </c>
      <c r="G39" s="7">
        <f t="shared" si="7"/>
        <v>35082</v>
      </c>
    </row>
    <row r="40" spans="2:7" ht="18.75" x14ac:dyDescent="0.25">
      <c r="B40" s="9" t="s">
        <v>43</v>
      </c>
      <c r="C40" s="7">
        <f>C30+C39</f>
        <v>22544.300000000003</v>
      </c>
      <c r="D40" s="7">
        <f t="shared" ref="D40:G40" si="8">D30+D39</f>
        <v>24073.5</v>
      </c>
      <c r="E40" s="7">
        <f t="shared" si="8"/>
        <v>29025.699999999997</v>
      </c>
      <c r="F40" s="7">
        <f t="shared" si="8"/>
        <v>34247.899999999994</v>
      </c>
      <c r="G40" s="7">
        <f t="shared" si="8"/>
        <v>41873.599999999999</v>
      </c>
    </row>
  </sheetData>
  <mergeCells count="1">
    <mergeCell ref="B3:G3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BC6FFB-D245-485D-B269-728F296B93F2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22544.300000000003</v>
      </c>
      <c r="D5" s="16">
        <f>'Balance Sheet'!D21</f>
        <v>24073.5</v>
      </c>
      <c r="E5" s="16">
        <f>'Balance Sheet'!E21</f>
        <v>29025.699999999997</v>
      </c>
      <c r="F5" s="16">
        <f>'Balance Sheet'!F21</f>
        <v>34247.9</v>
      </c>
      <c r="G5" s="16">
        <f>'Balance Sheet'!G21</f>
        <v>41873.599999999999</v>
      </c>
    </row>
    <row r="6" spans="2:7" ht="18.75" x14ac:dyDescent="0.25">
      <c r="B6" s="15" t="str">
        <f>'Balance Sheet'!B13</f>
        <v>Total Debt</v>
      </c>
      <c r="C6" s="16">
        <f>'Balance Sheet'!C13</f>
        <v>5260.1</v>
      </c>
      <c r="D6" s="16">
        <f>'Balance Sheet'!D13</f>
        <v>3459.8</v>
      </c>
      <c r="E6" s="16">
        <f>'Balance Sheet'!E13</f>
        <v>1785.6000000000001</v>
      </c>
      <c r="F6" s="16">
        <f>'Balance Sheet'!F13</f>
        <v>2973.3</v>
      </c>
      <c r="G6" s="16">
        <f>'Balance Sheet'!G13</f>
        <v>3284.2</v>
      </c>
    </row>
  </sheetData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4AFB84-302A-414B-A83F-E1E3C3341B6D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22544.300000000003</v>
      </c>
      <c r="D5" s="16">
        <f>'Balance Sheet'!D21</f>
        <v>24073.5</v>
      </c>
      <c r="E5" s="16">
        <f>'Balance Sheet'!E21</f>
        <v>29025.699999999997</v>
      </c>
      <c r="F5" s="16">
        <f>'Balance Sheet'!F21</f>
        <v>34247.9</v>
      </c>
      <c r="G5" s="16">
        <f>'Balance Sheet'!G21</f>
        <v>41873.599999999999</v>
      </c>
    </row>
    <row r="6" spans="2:7" ht="18.75" x14ac:dyDescent="0.25">
      <c r="B6" s="15" t="str">
        <f>'Balance Sheet'!B19</f>
        <v>Total Current Liabilities</v>
      </c>
      <c r="C6" s="16">
        <f>'Balance Sheet'!C19</f>
        <v>4712.6000000000004</v>
      </c>
      <c r="D6" s="16">
        <f>'Balance Sheet'!D19</f>
        <v>4982.2</v>
      </c>
      <c r="E6" s="16">
        <f>'Balance Sheet'!E19</f>
        <v>5840.9</v>
      </c>
      <c r="F6" s="16">
        <f>'Balance Sheet'!F19</f>
        <v>6001.8</v>
      </c>
      <c r="G6" s="16">
        <f>'Balance Sheet'!G19</f>
        <v>7250.3</v>
      </c>
    </row>
  </sheetData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AE990-2E60-4B11-B192-E7CA275870B0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22544.300000000003</v>
      </c>
      <c r="D5" s="16">
        <f>'Balance Sheet'!D40</f>
        <v>24073.5</v>
      </c>
      <c r="E5" s="16">
        <f>'Balance Sheet'!E40</f>
        <v>29025.699999999997</v>
      </c>
      <c r="F5" s="16">
        <f>'Balance Sheet'!F40</f>
        <v>34247.899999999994</v>
      </c>
      <c r="G5" s="16">
        <f>'Balance Sheet'!G40</f>
        <v>41873.599999999999</v>
      </c>
    </row>
    <row r="6" spans="2:7" ht="18.75" x14ac:dyDescent="0.25">
      <c r="B6" s="15" t="str">
        <f>'Balance Sheet'!B30</f>
        <v>Total Non Current Assets</v>
      </c>
      <c r="C6" s="16">
        <f>'Balance Sheet'!C30</f>
        <v>12736.800000000001</v>
      </c>
      <c r="D6" s="16">
        <f>'Balance Sheet'!D30</f>
        <v>8649.9</v>
      </c>
      <c r="E6" s="16">
        <f>'Balance Sheet'!E30</f>
        <v>7175.3</v>
      </c>
      <c r="F6" s="16">
        <f>'Balance Sheet'!F30</f>
        <v>7880.6999999999989</v>
      </c>
      <c r="G6" s="16">
        <f>'Balance Sheet'!G30</f>
        <v>6791.6000000000013</v>
      </c>
    </row>
  </sheetData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1AFE1-9B75-40D8-94D1-EEA76223B837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22544.300000000003</v>
      </c>
      <c r="D5" s="16">
        <f>'Balance Sheet'!D40</f>
        <v>24073.5</v>
      </c>
      <c r="E5" s="16">
        <f>'Balance Sheet'!E40</f>
        <v>29025.699999999997</v>
      </c>
      <c r="F5" s="16">
        <f>'Balance Sheet'!F40</f>
        <v>34247.899999999994</v>
      </c>
      <c r="G5" s="16">
        <f>'Balance Sheet'!G40</f>
        <v>41873.599999999999</v>
      </c>
    </row>
    <row r="6" spans="2:7" ht="18.75" x14ac:dyDescent="0.25">
      <c r="B6" s="15" t="str">
        <f>'Balance Sheet'!B39</f>
        <v>Total Current Assets</v>
      </c>
      <c r="C6" s="16">
        <f>'Balance Sheet'!C39</f>
        <v>9807.5</v>
      </c>
      <c r="D6" s="16">
        <f>'Balance Sheet'!D39</f>
        <v>15423.599999999999</v>
      </c>
      <c r="E6" s="16">
        <f>'Balance Sheet'!E39</f>
        <v>21850.399999999998</v>
      </c>
      <c r="F6" s="16">
        <f>'Balance Sheet'!F39</f>
        <v>26367.199999999997</v>
      </c>
      <c r="G6" s="16">
        <f>'Balance Sheet'!G39</f>
        <v>35082</v>
      </c>
    </row>
  </sheetData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48315-F631-4F1A-9D94-7E751250222D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Statement'!B15</f>
        <v>Total Expenditure</v>
      </c>
      <c r="C5" s="16">
        <f>'Income Statement'!C15</f>
        <v>10521.2</v>
      </c>
      <c r="D5" s="16">
        <f>'Income Statement'!D15</f>
        <v>10653</v>
      </c>
      <c r="E5" s="16">
        <f>'Income Statement'!E15</f>
        <v>10800.3</v>
      </c>
      <c r="F5" s="16">
        <f>'Income Statement'!F15</f>
        <v>12717.7</v>
      </c>
      <c r="G5" s="16">
        <f>'Income Statement'!G15</f>
        <v>13717.300000000001</v>
      </c>
    </row>
    <row r="6" spans="2:7" ht="18.75" x14ac:dyDescent="0.25">
      <c r="B6" s="15" t="str">
        <f>'Income Statement'!B10</f>
        <v>Total Income</v>
      </c>
      <c r="C6" s="16">
        <f>'Income Statement'!C10</f>
        <v>14358</v>
      </c>
      <c r="D6" s="16">
        <f>'Income Statement'!D10</f>
        <v>15722.6</v>
      </c>
      <c r="E6" s="16">
        <f>'Income Statement'!E10</f>
        <v>18080.599999999999</v>
      </c>
      <c r="F6" s="16">
        <f>'Income Statement'!F10</f>
        <v>19263.600000000002</v>
      </c>
      <c r="G6" s="16">
        <f>'Income Statement'!G10</f>
        <v>21923.5</v>
      </c>
    </row>
  </sheetData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E296C-C996-473A-AB2C-AA0E35F82257}">
  <dimension ref="B4:G6"/>
  <sheetViews>
    <sheetView showGridLines="0" tabSelected="1" workbookViewId="0">
      <selection activeCell="B4" sqref="B4"/>
    </sheetView>
  </sheetViews>
  <sheetFormatPr defaultRowHeight="15" x14ac:dyDescent="0.25"/>
  <cols>
    <col min="2" max="2" width="42.5703125" bestFit="1" customWidth="1"/>
    <col min="3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Statement'!B30</f>
        <v>Amount C\F to Balance Sheet</v>
      </c>
      <c r="C5" s="16">
        <f>'Income Statement'!C30</f>
        <v>1843.5999999999992</v>
      </c>
      <c r="D5" s="16">
        <f>'Income Statement'!D30</f>
        <v>3059.9</v>
      </c>
      <c r="E5" s="16">
        <f>'Income Statement'!E30</f>
        <v>5767.5999999999985</v>
      </c>
      <c r="F5" s="16">
        <f>'Income Statement'!F30</f>
        <v>3873.5000000000018</v>
      </c>
      <c r="G5" s="16">
        <f>'Income Statement'!G30</f>
        <v>6066.2999999999993</v>
      </c>
    </row>
    <row r="6" spans="2:7" ht="18.75" x14ac:dyDescent="0.25">
      <c r="B6" s="15" t="str">
        <f>'Income Statement'!B27</f>
        <v>Reported Net Profit(PAT)</v>
      </c>
      <c r="C6" s="16">
        <f>'Income Statement'!C27</f>
        <v>2242.7999999999993</v>
      </c>
      <c r="D6" s="16">
        <f>'Income Statement'!D27</f>
        <v>3460.1</v>
      </c>
      <c r="E6" s="16">
        <f>'Income Statement'!E27</f>
        <v>6159.1999999999989</v>
      </c>
      <c r="F6" s="16">
        <f>'Income Statement'!F27</f>
        <v>4288.2000000000016</v>
      </c>
      <c r="G6" s="16">
        <f>'Income Statement'!G27</f>
        <v>6066.2999999999993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2E6EB-2DCA-4F94-B18A-3720440D28C8}">
  <dimension ref="B3:G48"/>
  <sheetViews>
    <sheetView showGridLines="0" topLeftCell="A34" workbookViewId="0">
      <selection activeCell="D48" sqref="D48:G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6" width="14.85546875" bestFit="1" customWidth="1"/>
    <col min="7" max="7" width="13.7109375" bestFit="1" customWidth="1"/>
  </cols>
  <sheetData>
    <row r="3" spans="2:7" ht="18.75" x14ac:dyDescent="0.25">
      <c r="B3" s="10" t="s">
        <v>143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129</v>
      </c>
      <c r="C5" s="4"/>
      <c r="D5" s="5">
        <f>'Income Statement'!D25</f>
        <v>3845.9</v>
      </c>
      <c r="E5" s="5">
        <f>'Income Statement'!E25</f>
        <v>6018.8999999999987</v>
      </c>
      <c r="F5" s="5">
        <f>'Income Statement'!F25</f>
        <v>5220.1000000000013</v>
      </c>
      <c r="G5" s="5">
        <f>'Income Statement'!G25</f>
        <v>6945.1999999999989</v>
      </c>
    </row>
    <row r="6" spans="2:7" ht="18.75" x14ac:dyDescent="0.25">
      <c r="B6" s="8" t="s">
        <v>130</v>
      </c>
      <c r="C6" s="4"/>
      <c r="D6" s="4"/>
      <c r="E6" s="4"/>
      <c r="F6" s="4"/>
      <c r="G6" s="4"/>
    </row>
    <row r="7" spans="2:7" ht="18.75" x14ac:dyDescent="0.25">
      <c r="B7" s="8" t="s">
        <v>125</v>
      </c>
      <c r="C7" s="4"/>
      <c r="D7" s="5">
        <f>'Income Statement'!D18</f>
        <v>1134.8</v>
      </c>
      <c r="E7" s="5">
        <f>'Income Statement'!E18</f>
        <v>1163.0999999999999</v>
      </c>
      <c r="F7" s="5">
        <f>'Income Statement'!F18</f>
        <v>1228.8</v>
      </c>
      <c r="G7" s="5">
        <f>'Income Statement'!G18</f>
        <v>1165.2</v>
      </c>
    </row>
    <row r="8" spans="2:7" ht="18.75" x14ac:dyDescent="0.25">
      <c r="B8" s="8" t="s">
        <v>131</v>
      </c>
      <c r="C8" s="4"/>
      <c r="D8" s="4">
        <f>'Income Statement'!D20</f>
        <v>88.9</v>
      </c>
      <c r="E8" s="4">
        <f>'Income Statement'!E20</f>
        <v>98.3</v>
      </c>
      <c r="F8" s="4">
        <f>'Income Statement'!F20</f>
        <v>97</v>
      </c>
      <c r="G8" s="4">
        <f>'Income Statement'!G20</f>
        <v>95.8</v>
      </c>
    </row>
    <row r="9" spans="2:7" ht="18.75" x14ac:dyDescent="0.25">
      <c r="B9" s="8" t="s">
        <v>59</v>
      </c>
      <c r="C9" s="4"/>
      <c r="D9" s="4">
        <f>'Income Statement'!D8</f>
        <v>337.5</v>
      </c>
      <c r="E9" s="4">
        <f>'Income Statement'!E8</f>
        <v>620.6</v>
      </c>
      <c r="F9" s="4">
        <f>'Income Statement'!F8</f>
        <v>291.39999999999998</v>
      </c>
      <c r="G9" s="4">
        <f>'Income Statement'!G8</f>
        <v>484.4</v>
      </c>
    </row>
    <row r="10" spans="2:7" ht="18.75" x14ac:dyDescent="0.25">
      <c r="B10" s="9" t="s">
        <v>132</v>
      </c>
      <c r="C10" s="6"/>
      <c r="D10" s="7">
        <f>D7+D8-D9</f>
        <v>886.2</v>
      </c>
      <c r="E10" s="7">
        <f t="shared" ref="E10:G10" si="0">E7+E8-E9</f>
        <v>640.79999999999984</v>
      </c>
      <c r="F10" s="7">
        <f t="shared" si="0"/>
        <v>1034.4000000000001</v>
      </c>
      <c r="G10" s="7">
        <f t="shared" si="0"/>
        <v>776.6</v>
      </c>
    </row>
    <row r="11" spans="2:7" ht="18.75" x14ac:dyDescent="0.25">
      <c r="B11" s="8" t="s">
        <v>133</v>
      </c>
      <c r="C11" s="4"/>
      <c r="D11" s="4"/>
      <c r="E11" s="4"/>
      <c r="F11" s="4"/>
      <c r="G11" s="4"/>
    </row>
    <row r="12" spans="2:7" ht="18.75" x14ac:dyDescent="0.25">
      <c r="B12" s="8" t="str">
        <f>'Balance Sheet'!B31</f>
        <v>Deferred Tax Assets [Net]</v>
      </c>
      <c r="C12" s="4"/>
      <c r="D12" s="5">
        <f>'Balance Sheet'!C31-'Balance Sheet'!D31</f>
        <v>108.80000000000001</v>
      </c>
      <c r="E12" s="5">
        <f>'Balance Sheet'!D31-'Balance Sheet'!E31</f>
        <v>-788.2</v>
      </c>
      <c r="F12" s="5">
        <f>'Balance Sheet'!E31-'Balance Sheet'!F31</f>
        <v>151.30000000000018</v>
      </c>
      <c r="G12" s="5">
        <f>'Balance Sheet'!F31-'Balance Sheet'!G31</f>
        <v>-208.40000000000009</v>
      </c>
    </row>
    <row r="13" spans="2:7" ht="18.75" x14ac:dyDescent="0.25">
      <c r="B13" s="8" t="str">
        <f>'Balance Sheet'!B32</f>
        <v>Long Term Loans And Advances</v>
      </c>
      <c r="C13" s="4"/>
      <c r="D13" s="4">
        <f>'Balance Sheet'!C32-'Balance Sheet'!D32</f>
        <v>0</v>
      </c>
      <c r="E13" s="4">
        <f>'Balance Sheet'!D32-'Balance Sheet'!E32</f>
        <v>0</v>
      </c>
      <c r="F13" s="4">
        <f>'Balance Sheet'!E32-'Balance Sheet'!F32</f>
        <v>0</v>
      </c>
      <c r="G13" s="4">
        <f>'Balance Sheet'!F32-'Balance Sheet'!G32</f>
        <v>0</v>
      </c>
    </row>
    <row r="14" spans="2:7" ht="18.75" x14ac:dyDescent="0.25">
      <c r="B14" s="8" t="str">
        <f>'Balance Sheet'!B33</f>
        <v>Other Non-Current Assets</v>
      </c>
      <c r="C14" s="4"/>
      <c r="D14" s="4">
        <f>'Balance Sheet'!C33-'Balance Sheet'!D33</f>
        <v>136.5</v>
      </c>
      <c r="E14" s="4">
        <f>'Balance Sheet'!D33-'Balance Sheet'!E33</f>
        <v>-246.69999999999993</v>
      </c>
      <c r="F14" s="4">
        <f>'Balance Sheet'!E33-'Balance Sheet'!F33</f>
        <v>317.99999999999994</v>
      </c>
      <c r="G14" s="4">
        <f>'Balance Sheet'!F33-'Balance Sheet'!G33</f>
        <v>48.199999999999989</v>
      </c>
    </row>
    <row r="15" spans="2:7" ht="18.75" x14ac:dyDescent="0.25">
      <c r="B15" s="8" t="str">
        <f>'Balance Sheet'!B34</f>
        <v>Short Term Loans And Advances</v>
      </c>
      <c r="C15" s="4"/>
      <c r="D15" s="4">
        <f>'Balance Sheet'!C34-'Balance Sheet'!D34</f>
        <v>0</v>
      </c>
      <c r="E15" s="4">
        <f>'Balance Sheet'!D34-'Balance Sheet'!E34</f>
        <v>0</v>
      </c>
      <c r="F15" s="4">
        <f>'Balance Sheet'!E34-'Balance Sheet'!F34</f>
        <v>0</v>
      </c>
      <c r="G15" s="4">
        <f>'Balance Sheet'!F34-'Balance Sheet'!G34</f>
        <v>0</v>
      </c>
    </row>
    <row r="16" spans="2:7" ht="18.75" x14ac:dyDescent="0.25">
      <c r="B16" s="8" t="str">
        <f>'Balance Sheet'!B35</f>
        <v>OtherCurrentAssets</v>
      </c>
      <c r="C16" s="4"/>
      <c r="D16" s="5">
        <f>'Balance Sheet'!C35-'Balance Sheet'!D35</f>
        <v>150.40000000000009</v>
      </c>
      <c r="E16" s="5">
        <f>'Balance Sheet'!D35-'Balance Sheet'!E35</f>
        <v>-201</v>
      </c>
      <c r="F16" s="5">
        <f>'Balance Sheet'!E35-'Balance Sheet'!F35</f>
        <v>-97.100000000000136</v>
      </c>
      <c r="G16" s="5">
        <f>'Balance Sheet'!F35-'Balance Sheet'!G35</f>
        <v>-321.79999999999995</v>
      </c>
    </row>
    <row r="17" spans="2:7" ht="18.75" x14ac:dyDescent="0.25">
      <c r="B17" s="8" t="str">
        <f>'Balance Sheet'!B36</f>
        <v>Inventories</v>
      </c>
      <c r="C17" s="4"/>
      <c r="D17" s="5">
        <f>'Balance Sheet'!C36-'Balance Sheet'!D36</f>
        <v>-449</v>
      </c>
      <c r="E17" s="5">
        <f>'Balance Sheet'!D36-'Balance Sheet'!E36</f>
        <v>-148.79999999999973</v>
      </c>
      <c r="F17" s="5">
        <f>'Balance Sheet'!E36-'Balance Sheet'!F36</f>
        <v>-1034.5</v>
      </c>
      <c r="G17" s="5">
        <f>'Balance Sheet'!F36-'Balance Sheet'!G36</f>
        <v>-547.19999999999982</v>
      </c>
    </row>
    <row r="18" spans="2:7" ht="18.75" x14ac:dyDescent="0.25">
      <c r="B18" s="8" t="str">
        <f>'Balance Sheet'!B37</f>
        <v>Trade Receivables</v>
      </c>
      <c r="C18" s="4"/>
      <c r="D18" s="5">
        <f>'Balance Sheet'!C37-'Balance Sheet'!D37</f>
        <v>65.799999999999727</v>
      </c>
      <c r="E18" s="5">
        <f>'Balance Sheet'!D37-'Balance Sheet'!E37</f>
        <v>-1040.9000000000001</v>
      </c>
      <c r="F18" s="5">
        <f>'Balance Sheet'!E37-'Balance Sheet'!F37</f>
        <v>63.699999999999818</v>
      </c>
      <c r="G18" s="5">
        <f>'Balance Sheet'!F37-'Balance Sheet'!G37</f>
        <v>-1712.2999999999993</v>
      </c>
    </row>
    <row r="19" spans="2:7" ht="18.75" x14ac:dyDescent="0.25">
      <c r="B19" s="8" t="s">
        <v>134</v>
      </c>
      <c r="C19" s="4"/>
      <c r="D19" s="4"/>
      <c r="E19" s="4"/>
      <c r="F19" s="4"/>
      <c r="G19" s="4"/>
    </row>
    <row r="20" spans="2:7" ht="18.75" x14ac:dyDescent="0.25">
      <c r="B20" s="8" t="str">
        <f>'Balance Sheet'!B14</f>
        <v>Long Term Provisions</v>
      </c>
      <c r="C20" s="4"/>
      <c r="D20" s="4">
        <f>'Balance Sheet'!D14-'Balance Sheet'!C14</f>
        <v>-2.4000000000000057</v>
      </c>
      <c r="E20" s="4">
        <f>'Balance Sheet'!E14-'Balance Sheet'!D14</f>
        <v>-4.7999999999999972</v>
      </c>
      <c r="F20" s="4">
        <f>'Balance Sheet'!F14-'Balance Sheet'!E14</f>
        <v>-23.700000000000003</v>
      </c>
      <c r="G20" s="4">
        <f>'Balance Sheet'!G14-'Balance Sheet'!F14</f>
        <v>-24.999999999999996</v>
      </c>
    </row>
    <row r="21" spans="2:7" ht="18.75" x14ac:dyDescent="0.25">
      <c r="B21" s="8" t="str">
        <f>'Balance Sheet'!B15</f>
        <v>Short Term Provisions</v>
      </c>
      <c r="C21" s="4"/>
      <c r="D21" s="4">
        <f>'Balance Sheet'!D15-'Balance Sheet'!C15</f>
        <v>40.199999999999989</v>
      </c>
      <c r="E21" s="4">
        <f>'Balance Sheet'!E15-'Balance Sheet'!D15</f>
        <v>-12</v>
      </c>
      <c r="F21" s="4">
        <f>'Balance Sheet'!F15-'Balance Sheet'!E15</f>
        <v>34.600000000000023</v>
      </c>
      <c r="G21" s="4">
        <f>'Balance Sheet'!G15-'Balance Sheet'!F15</f>
        <v>85.100000000000023</v>
      </c>
    </row>
    <row r="22" spans="2:7" ht="18.75" x14ac:dyDescent="0.25">
      <c r="B22" s="8" t="str">
        <f>'Balance Sheet'!B16</f>
        <v>Other Long Term Liabilities</v>
      </c>
      <c r="C22" s="4"/>
      <c r="D22" s="4">
        <f>'Balance Sheet'!D16-'Balance Sheet'!C16</f>
        <v>-75.200000000000017</v>
      </c>
      <c r="E22" s="4">
        <f>'Balance Sheet'!E16-'Balance Sheet'!D16</f>
        <v>-12.599999999999994</v>
      </c>
      <c r="F22" s="4">
        <f>'Balance Sheet'!F16-'Balance Sheet'!E16</f>
        <v>-43.800000000000011</v>
      </c>
      <c r="G22" s="4">
        <f>'Balance Sheet'!G16-'Balance Sheet'!F16</f>
        <v>5.2000000000000171</v>
      </c>
    </row>
    <row r="23" spans="2:7" ht="18.75" x14ac:dyDescent="0.25">
      <c r="B23" s="8" t="str">
        <f>'Balance Sheet'!B17</f>
        <v>Trade Payables</v>
      </c>
      <c r="C23" s="4"/>
      <c r="D23" s="5">
        <f>'Balance Sheet'!D17-'Balance Sheet'!C17</f>
        <v>32.599999999999909</v>
      </c>
      <c r="E23" s="5">
        <f>'Balance Sheet'!E17-'Balance Sheet'!D17</f>
        <v>157.70000000000005</v>
      </c>
      <c r="F23" s="5">
        <f>'Balance Sheet'!F17-'Balance Sheet'!E17</f>
        <v>286.10000000000014</v>
      </c>
      <c r="G23" s="5">
        <f>'Balance Sheet'!G17-'Balance Sheet'!F17</f>
        <v>455.29999999999973</v>
      </c>
    </row>
    <row r="24" spans="2:7" ht="18.75" x14ac:dyDescent="0.25">
      <c r="B24" s="8" t="str">
        <f>'Balance Sheet'!B18</f>
        <v>Other Current Liabilities</v>
      </c>
      <c r="C24" s="4"/>
      <c r="D24" s="5">
        <f>'Balance Sheet'!D18-'Balance Sheet'!C18</f>
        <v>274.40000000000009</v>
      </c>
      <c r="E24" s="5">
        <f>'Balance Sheet'!E18-'Balance Sheet'!D18</f>
        <v>730.39999999999964</v>
      </c>
      <c r="F24" s="5">
        <f>'Balance Sheet'!F18-'Balance Sheet'!E18</f>
        <v>-92.299999999999727</v>
      </c>
      <c r="G24" s="5">
        <f>'Balance Sheet'!G18-'Balance Sheet'!F18</f>
        <v>727.90000000000009</v>
      </c>
    </row>
    <row r="25" spans="2:7" ht="18.75" x14ac:dyDescent="0.25">
      <c r="B25" s="8" t="s">
        <v>103</v>
      </c>
      <c r="C25" s="4"/>
      <c r="D25" s="4"/>
      <c r="E25" s="4"/>
      <c r="F25" s="4"/>
      <c r="G25" s="4"/>
    </row>
    <row r="26" spans="2:7" ht="18.75" x14ac:dyDescent="0.25">
      <c r="B26" s="8" t="str">
        <f>'Income Statement'!B26</f>
        <v>Total Tax Expenses</v>
      </c>
      <c r="C26" s="4"/>
      <c r="D26" s="4">
        <f>'Income Statement'!D26</f>
        <v>385.8</v>
      </c>
      <c r="E26" s="4">
        <f>'Income Statement'!E26</f>
        <v>-140.30000000000001</v>
      </c>
      <c r="F26" s="4">
        <f>'Income Statement'!F26</f>
        <v>931.9</v>
      </c>
      <c r="G26" s="4">
        <f>'Income Statement'!G26</f>
        <v>878.9</v>
      </c>
    </row>
    <row r="27" spans="2:7" ht="18.75" x14ac:dyDescent="0.25">
      <c r="B27" s="9" t="s">
        <v>135</v>
      </c>
      <c r="C27" s="6"/>
      <c r="D27" s="7">
        <f>D12+D13+D14+D15+D16+D17+D18+D20+D21+D22+D23+D24-D26+D10+D5</f>
        <v>4628.3999999999996</v>
      </c>
      <c r="E27" s="7">
        <f t="shared" ref="E27:G27" si="1">E12+E13+E14+E15+E16+E17+E18+E20+E21+E22+E23+E24-E26+E10+E5</f>
        <v>5233.0999999999976</v>
      </c>
      <c r="F27" s="7">
        <f t="shared" si="1"/>
        <v>4884.9000000000015</v>
      </c>
      <c r="G27" s="7">
        <f t="shared" si="1"/>
        <v>5349.9</v>
      </c>
    </row>
    <row r="28" spans="2:7" ht="18.75" x14ac:dyDescent="0.25">
      <c r="B28" s="8" t="s">
        <v>136</v>
      </c>
      <c r="C28" s="4"/>
      <c r="D28" s="4"/>
      <c r="E28" s="4"/>
      <c r="F28" s="4"/>
      <c r="G28" s="4"/>
    </row>
    <row r="29" spans="2:7" ht="18.75" x14ac:dyDescent="0.25">
      <c r="B29" s="8" t="str">
        <f>'Balance Sheet'!B23</f>
        <v>Tangible Assets</v>
      </c>
      <c r="C29" s="4"/>
      <c r="D29" s="5">
        <f>'Balance Sheet'!C23-'Balance Sheet'!D23</f>
        <v>60.600000000000364</v>
      </c>
      <c r="E29" s="5">
        <f>'Balance Sheet'!D23-'Balance Sheet'!E23</f>
        <v>134.80000000000018</v>
      </c>
      <c r="F29" s="5">
        <f>'Balance Sheet'!E23-'Balance Sheet'!F23</f>
        <v>45.699999999999818</v>
      </c>
      <c r="G29" s="5">
        <f>'Balance Sheet'!F23-'Balance Sheet'!G23</f>
        <v>-4135.4000000000005</v>
      </c>
    </row>
    <row r="30" spans="2:7" ht="18.75" x14ac:dyDescent="0.25">
      <c r="B30" s="8" t="str">
        <f>'Balance Sheet'!B24</f>
        <v>Intangible Assets</v>
      </c>
      <c r="C30" s="4"/>
      <c r="D30" s="5">
        <f>'Balance Sheet'!C24-'Balance Sheet'!D24</f>
        <v>-350.80000000000018</v>
      </c>
      <c r="E30" s="5">
        <f>'Balance Sheet'!D24-'Balance Sheet'!E24</f>
        <v>231.30000000000018</v>
      </c>
      <c r="F30" s="5">
        <f>'Balance Sheet'!E24-'Balance Sheet'!F24</f>
        <v>-1332.5</v>
      </c>
      <c r="G30" s="5">
        <f>'Balance Sheet'!F24-'Balance Sheet'!G24</f>
        <v>2913.6</v>
      </c>
    </row>
    <row r="31" spans="2:7" ht="18.75" x14ac:dyDescent="0.25">
      <c r="B31" s="8" t="str">
        <f>'Balance Sheet'!B27</f>
        <v>Non-Current Investments</v>
      </c>
      <c r="C31" s="4"/>
      <c r="D31" s="4">
        <f>'Balance Sheet'!C27-'Balance Sheet'!D27</f>
        <v>131.10000000000002</v>
      </c>
      <c r="E31" s="4">
        <f>'Balance Sheet'!D27-'Balance Sheet'!E27</f>
        <v>25.099999999999966</v>
      </c>
      <c r="F31" s="4">
        <f>'Balance Sheet'!E27-'Balance Sheet'!F27</f>
        <v>-524.19999999999993</v>
      </c>
      <c r="G31" s="4">
        <f>'Balance Sheet'!F27-'Balance Sheet'!G27</f>
        <v>234.69999999999993</v>
      </c>
    </row>
    <row r="32" spans="2:7" ht="18.75" x14ac:dyDescent="0.25">
      <c r="B32" s="8" t="str">
        <f>'Balance Sheet'!B28</f>
        <v>Current Investments</v>
      </c>
      <c r="C32" s="4"/>
      <c r="D32" s="5">
        <f>'Balance Sheet'!C28-'Balance Sheet'!D28</f>
        <v>-419.90000000000009</v>
      </c>
      <c r="E32" s="5">
        <f>'Balance Sheet'!D28-'Balance Sheet'!E28</f>
        <v>-115.79999999999973</v>
      </c>
      <c r="F32" s="5">
        <f>'Balance Sheet'!E28-'Balance Sheet'!F28</f>
        <v>394.29999999999973</v>
      </c>
      <c r="G32" s="5">
        <f>'Balance Sheet'!F28-'Balance Sheet'!G28</f>
        <v>-42.899999999999864</v>
      </c>
    </row>
    <row r="33" spans="2:7" ht="18.75" x14ac:dyDescent="0.25">
      <c r="B33" s="8" t="str">
        <f>'Balance Sheet'!B29</f>
        <v>Capital Work-In-Progress</v>
      </c>
      <c r="C33" s="4"/>
      <c r="D33" s="4">
        <f>'Balance Sheet'!C29-'Balance Sheet'!D29</f>
        <v>3531.1000000000004</v>
      </c>
      <c r="E33" s="4">
        <f>'Balance Sheet'!D29-'Balance Sheet'!E29</f>
        <v>36.100000000000023</v>
      </c>
      <c r="F33" s="4">
        <f>'Balance Sheet'!E29-'Balance Sheet'!F29</f>
        <v>-517.5</v>
      </c>
      <c r="G33" s="4">
        <f>'Balance Sheet'!F29-'Balance Sheet'!G29</f>
        <v>953.9</v>
      </c>
    </row>
    <row r="34" spans="2:7" ht="18.75" x14ac:dyDescent="0.25">
      <c r="B34" s="8" t="s">
        <v>59</v>
      </c>
      <c r="C34" s="4"/>
      <c r="D34" s="4">
        <f>'Income Statement'!D8</f>
        <v>337.5</v>
      </c>
      <c r="E34" s="4">
        <f>'Income Statement'!E8</f>
        <v>620.6</v>
      </c>
      <c r="F34" s="4">
        <f>'Income Statement'!F8</f>
        <v>291.39999999999998</v>
      </c>
      <c r="G34" s="4">
        <f>'Income Statement'!G8</f>
        <v>484.4</v>
      </c>
    </row>
    <row r="35" spans="2:7" ht="18.75" x14ac:dyDescent="0.25">
      <c r="B35" s="9" t="s">
        <v>137</v>
      </c>
      <c r="C35" s="6"/>
      <c r="D35" s="7">
        <f>D29+D30+D31+D32+D33+D34</f>
        <v>3289.6000000000004</v>
      </c>
      <c r="E35" s="7">
        <f t="shared" ref="E35:G35" si="2">E29+E30+E31+E32+E33+E34</f>
        <v>932.10000000000059</v>
      </c>
      <c r="F35" s="7">
        <f t="shared" si="2"/>
        <v>-1642.8000000000002</v>
      </c>
      <c r="G35" s="7">
        <f t="shared" si="2"/>
        <v>408.2999999999995</v>
      </c>
    </row>
    <row r="36" spans="2:7" ht="18.75" x14ac:dyDescent="0.25">
      <c r="B36" s="8" t="s">
        <v>138</v>
      </c>
      <c r="C36" s="4"/>
      <c r="D36" s="4"/>
      <c r="E36" s="4"/>
      <c r="F36" s="4"/>
      <c r="G36" s="4"/>
    </row>
    <row r="37" spans="2:7" ht="18.75" x14ac:dyDescent="0.25">
      <c r="B37" s="8" t="str">
        <f>'Balance Sheet'!B5</f>
        <v>Equity Share Capital</v>
      </c>
      <c r="C37" s="4"/>
      <c r="D37" s="4">
        <f>'Balance Sheet'!D5-'Balance Sheet'!C5</f>
        <v>0</v>
      </c>
      <c r="E37" s="4">
        <f>'Balance Sheet'!E5-'Balance Sheet'!D5</f>
        <v>9.9999999999994316E-2</v>
      </c>
      <c r="F37" s="4">
        <f>'Balance Sheet'!F5-'Balance Sheet'!E5</f>
        <v>0.10000000000000853</v>
      </c>
      <c r="G37" s="4">
        <f>'Balance Sheet'!G5-'Balance Sheet'!F5</f>
        <v>0</v>
      </c>
    </row>
    <row r="38" spans="2:7" ht="18.75" x14ac:dyDescent="0.25">
      <c r="B38" s="8" t="str">
        <f>'Balance Sheet'!B6</f>
        <v>Preference Share Capital</v>
      </c>
      <c r="C38" s="4"/>
      <c r="D38" s="4">
        <f>'Balance Sheet'!D6-'Balance Sheet'!C6</f>
        <v>0</v>
      </c>
      <c r="E38" s="4">
        <f>'Balance Sheet'!E6-'Balance Sheet'!D6</f>
        <v>0</v>
      </c>
      <c r="F38" s="4">
        <f>'Balance Sheet'!F6-'Balance Sheet'!E6</f>
        <v>0</v>
      </c>
      <c r="G38" s="4">
        <f>'Balance Sheet'!G6-'Balance Sheet'!F6</f>
        <v>0</v>
      </c>
    </row>
    <row r="39" spans="2:7" ht="18.75" x14ac:dyDescent="0.25">
      <c r="B39" s="8" t="str">
        <f>'Balance Sheet'!B10</f>
        <v>Long Term Borrowings</v>
      </c>
      <c r="C39" s="4"/>
      <c r="D39" s="4">
        <f>'Balance Sheet'!D10-'Balance Sheet'!C10</f>
        <v>-308.90000000000009</v>
      </c>
      <c r="E39" s="4">
        <f>'Balance Sheet'!E10-'Balance Sheet'!D10</f>
        <v>-2069.6</v>
      </c>
      <c r="F39" s="4">
        <f>'Balance Sheet'!F10-'Balance Sheet'!E10</f>
        <v>499.5</v>
      </c>
      <c r="G39" s="4">
        <f>'Balance Sheet'!G10-'Balance Sheet'!F10</f>
        <v>-55.299999999999955</v>
      </c>
    </row>
    <row r="40" spans="2:7" ht="18.75" x14ac:dyDescent="0.25">
      <c r="B40" s="8" t="str">
        <f>'Balance Sheet'!B11</f>
        <v>Deferred Tax Liabilities [Net]</v>
      </c>
      <c r="C40" s="4"/>
      <c r="D40" s="4">
        <f>'Balance Sheet'!D11-'Balance Sheet'!C11</f>
        <v>-147.69999999999999</v>
      </c>
      <c r="E40" s="4">
        <f>'Balance Sheet'!E11-'Balance Sheet'!D11</f>
        <v>-45.3</v>
      </c>
      <c r="F40" s="4">
        <f>'Balance Sheet'!F11-'Balance Sheet'!E11</f>
        <v>26.9</v>
      </c>
      <c r="G40" s="4">
        <f>'Balance Sheet'!G11-'Balance Sheet'!F11</f>
        <v>-27.5</v>
      </c>
    </row>
    <row r="41" spans="2:7" ht="18.75" x14ac:dyDescent="0.25">
      <c r="B41" s="8" t="str">
        <f>'Balance Sheet'!B12</f>
        <v>Short Term Borrowings</v>
      </c>
      <c r="C41" s="4"/>
      <c r="D41" s="5">
        <f>'Balance Sheet'!D12-'Balance Sheet'!C12</f>
        <v>-1343.6999999999998</v>
      </c>
      <c r="E41" s="5">
        <f>'Balance Sheet'!E12-'Balance Sheet'!D12</f>
        <v>440.70000000000005</v>
      </c>
      <c r="F41" s="5">
        <f>'Balance Sheet'!F12-'Balance Sheet'!E12</f>
        <v>661.3</v>
      </c>
      <c r="G41" s="5">
        <f>'Balance Sheet'!G12-'Balance Sheet'!F12</f>
        <v>393.69999999999982</v>
      </c>
    </row>
    <row r="42" spans="2:7" ht="18.75" x14ac:dyDescent="0.25">
      <c r="B42" s="8" t="str">
        <f>'Balance Sheet'!B20:G20</f>
        <v>Minority Interest</v>
      </c>
      <c r="C42" s="4"/>
      <c r="D42" s="4">
        <f>'Balance Sheet'!D20-'Balance Sheet'!C20</f>
        <v>0</v>
      </c>
      <c r="E42" s="4">
        <f>'Balance Sheet'!E20-'Balance Sheet'!D20</f>
        <v>0</v>
      </c>
      <c r="F42" s="4">
        <f>'Balance Sheet'!F20-'Balance Sheet'!E20</f>
        <v>0</v>
      </c>
      <c r="G42" s="4">
        <f>'Balance Sheet'!G20-'Balance Sheet'!F20</f>
        <v>0</v>
      </c>
    </row>
    <row r="43" spans="2:7" ht="18.75" x14ac:dyDescent="0.25">
      <c r="B43" s="8" t="s">
        <v>139</v>
      </c>
      <c r="C43" s="4"/>
      <c r="D43" s="4"/>
      <c r="E43" s="4"/>
      <c r="F43" s="4"/>
      <c r="G43" s="4"/>
    </row>
    <row r="44" spans="2:7" ht="18.75" x14ac:dyDescent="0.25">
      <c r="B44" s="8" t="str">
        <f>'Income Statement'!B28</f>
        <v>Equity Share Dividend</v>
      </c>
      <c r="C44" s="4"/>
      <c r="D44" s="4">
        <f>'Income Statement'!D28</f>
        <v>332</v>
      </c>
      <c r="E44" s="4">
        <f>'Income Statement'!E28</f>
        <v>391.6</v>
      </c>
      <c r="F44" s="4">
        <f>'Income Statement'!F28</f>
        <v>414.7</v>
      </c>
      <c r="G44" s="4">
        <f>'Income Statement'!G28</f>
        <v>0</v>
      </c>
    </row>
    <row r="45" spans="2:7" ht="18.75" x14ac:dyDescent="0.25">
      <c r="B45" s="8" t="str">
        <f>'Income Statement'!B29</f>
        <v>Tax On Dividend</v>
      </c>
      <c r="C45" s="4"/>
      <c r="D45" s="4">
        <f>'Income Statement'!D29</f>
        <v>68.2</v>
      </c>
      <c r="E45" s="4">
        <f>'Income Statement'!E29</f>
        <v>0</v>
      </c>
      <c r="F45" s="4">
        <f>'Income Statement'!F29</f>
        <v>0</v>
      </c>
      <c r="G45" s="4">
        <f>'Income Statement'!G29</f>
        <v>0</v>
      </c>
    </row>
    <row r="46" spans="2:7" ht="18.75" x14ac:dyDescent="0.25">
      <c r="B46" s="8" t="s">
        <v>140</v>
      </c>
      <c r="C46" s="4"/>
      <c r="D46" s="4">
        <f>'Income Statement'!D20</f>
        <v>88.9</v>
      </c>
      <c r="E46" s="4">
        <f>'Income Statement'!E20</f>
        <v>98.3</v>
      </c>
      <c r="F46" s="4">
        <f>'Income Statement'!F20</f>
        <v>97</v>
      </c>
      <c r="G46" s="4">
        <f>'Income Statement'!G20</f>
        <v>95.8</v>
      </c>
    </row>
    <row r="47" spans="2:7" ht="18.75" x14ac:dyDescent="0.25">
      <c r="B47" s="9" t="s">
        <v>141</v>
      </c>
      <c r="C47" s="6"/>
      <c r="D47" s="7">
        <f>D37+D38+D39+D40+D41+D42-D44-D45-D46</f>
        <v>-2289.4</v>
      </c>
      <c r="E47" s="7">
        <f t="shared" ref="E47:G47" si="3">E37+E38+E39+E40+E41+E42-E44-E45-E46</f>
        <v>-2164.0000000000005</v>
      </c>
      <c r="F47" s="7">
        <f t="shared" si="3"/>
        <v>676.09999999999991</v>
      </c>
      <c r="G47" s="7">
        <f t="shared" si="3"/>
        <v>215.09999999999985</v>
      </c>
    </row>
    <row r="48" spans="2:7" ht="18.75" x14ac:dyDescent="0.25">
      <c r="B48" s="9" t="s">
        <v>142</v>
      </c>
      <c r="C48" s="6"/>
      <c r="D48" s="7">
        <f>D27+D35+D47</f>
        <v>5628.6</v>
      </c>
      <c r="E48" s="7">
        <f t="shared" ref="E48:G48" si="4">E27+E35+E47</f>
        <v>4001.1999999999975</v>
      </c>
      <c r="F48" s="7">
        <f t="shared" si="4"/>
        <v>3918.2000000000012</v>
      </c>
      <c r="G48" s="7">
        <f t="shared" si="4"/>
        <v>5973.2999999999984</v>
      </c>
    </row>
  </sheetData>
  <mergeCells count="1">
    <mergeCell ref="B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A4CB2-5BAF-4BE4-A00A-4D231161DDCC}">
  <dimension ref="B3:L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3" width="13.5703125" bestFit="1" customWidth="1"/>
    <col min="4" max="4" width="15.140625" bestFit="1" customWidth="1"/>
    <col min="5" max="5" width="13.5703125" bestFit="1" customWidth="1"/>
    <col min="6" max="6" width="15.140625" bestFit="1" customWidth="1"/>
    <col min="7" max="7" width="13.140625" bestFit="1" customWidth="1"/>
  </cols>
  <sheetData>
    <row r="3" spans="2:12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12" ht="19.5" thickBot="1" x14ac:dyDescent="0.3">
      <c r="B5" s="14" t="s">
        <v>145</v>
      </c>
      <c r="C5" s="14"/>
      <c r="D5" s="14"/>
      <c r="E5" s="14"/>
      <c r="F5" s="14"/>
      <c r="G5" s="14"/>
    </row>
    <row r="6" spans="2:12" ht="19.5" thickTop="1" x14ac:dyDescent="0.25">
      <c r="B6" s="15" t="str">
        <f>'Income Statement'!B27</f>
        <v>Reported Net Profit(PAT)</v>
      </c>
      <c r="C6" s="16">
        <f>'Income Statement'!C27</f>
        <v>2242.7999999999993</v>
      </c>
      <c r="D6" s="16">
        <f>'Income Statement'!D27</f>
        <v>3460.1</v>
      </c>
      <c r="E6" s="16">
        <f>'Income Statement'!E27</f>
        <v>6159.1999999999989</v>
      </c>
      <c r="F6" s="16">
        <f>'Income Statement'!F27</f>
        <v>4288.2000000000016</v>
      </c>
      <c r="G6" s="16">
        <f>'Income Statement'!G27</f>
        <v>6066.2999999999993</v>
      </c>
      <c r="I6" s="18"/>
      <c r="J6" s="19"/>
      <c r="K6" s="19"/>
      <c r="L6" s="20"/>
    </row>
    <row r="7" spans="2:12" ht="18.75" x14ac:dyDescent="0.25">
      <c r="B7" s="15" t="str">
        <f>'Income Statement'!B35</f>
        <v>Total Shares Outstanding(cr)</v>
      </c>
      <c r="C7" s="16">
        <f>'Income Statement'!C35</f>
        <v>39.347368421052622</v>
      </c>
      <c r="D7" s="16">
        <f>'Income Statement'!D35</f>
        <v>29.322881355932203</v>
      </c>
      <c r="E7" s="16">
        <f>'Income Statement'!E35</f>
        <v>50.485245901639338</v>
      </c>
      <c r="F7" s="16">
        <f>'Income Statement'!F35</f>
        <v>36.340677966101708</v>
      </c>
      <c r="G7" s="16">
        <f>'Income Statement'!G35</f>
        <v>45.956818181818178</v>
      </c>
      <c r="I7" s="21"/>
      <c r="J7" s="22"/>
      <c r="K7" s="22"/>
      <c r="L7" s="23"/>
    </row>
    <row r="8" spans="2:12" ht="19.5" thickBot="1" x14ac:dyDescent="0.3">
      <c r="B8" s="17" t="s">
        <v>146</v>
      </c>
      <c r="C8" s="17">
        <f>ROUND(C6/C7, 2)</f>
        <v>57</v>
      </c>
      <c r="D8" s="17">
        <f t="shared" ref="D8:G8" si="0">ROUND(D6/D7, 2)</f>
        <v>118</v>
      </c>
      <c r="E8" s="17">
        <f t="shared" si="0"/>
        <v>122</v>
      </c>
      <c r="F8" s="17">
        <f t="shared" si="0"/>
        <v>118</v>
      </c>
      <c r="G8" s="17">
        <f t="shared" si="0"/>
        <v>132</v>
      </c>
      <c r="I8" s="24"/>
      <c r="J8" s="25"/>
      <c r="K8" s="25"/>
      <c r="L8" s="26"/>
    </row>
    <row r="9" spans="2:12" ht="15.75" thickTop="1" x14ac:dyDescent="0.25"/>
    <row r="10" spans="2:12" ht="19.5" thickBot="1" x14ac:dyDescent="0.3">
      <c r="B10" s="14" t="s">
        <v>147</v>
      </c>
      <c r="C10" s="14"/>
      <c r="D10" s="14"/>
      <c r="E10" s="14"/>
      <c r="F10" s="14"/>
      <c r="G10" s="14"/>
    </row>
    <row r="11" spans="2:12" ht="19.5" thickTop="1" x14ac:dyDescent="0.25">
      <c r="B11" s="15" t="str">
        <f>'Income Statement'!B28</f>
        <v>Equity Share Dividend</v>
      </c>
      <c r="C11" s="16">
        <f>'Income Statement'!C28</f>
        <v>399.2</v>
      </c>
      <c r="D11" s="16">
        <f>'Income Statement'!D28</f>
        <v>332</v>
      </c>
      <c r="E11" s="16">
        <f>'Income Statement'!E28</f>
        <v>391.6</v>
      </c>
      <c r="F11" s="16">
        <f>'Income Statement'!F28</f>
        <v>414.7</v>
      </c>
      <c r="G11" s="16">
        <f>'Income Statement'!G28</f>
        <v>0</v>
      </c>
      <c r="I11" s="18"/>
      <c r="J11" s="19"/>
      <c r="K11" s="19"/>
      <c r="L11" s="20"/>
    </row>
    <row r="12" spans="2:12" ht="18.75" x14ac:dyDescent="0.25">
      <c r="B12" s="15" t="str">
        <f>'Income Statement'!B35</f>
        <v>Total Shares Outstanding(cr)</v>
      </c>
      <c r="C12" s="16">
        <f>'Income Statement'!C35</f>
        <v>39.347368421052622</v>
      </c>
      <c r="D12" s="16">
        <f>'Income Statement'!D35</f>
        <v>29.322881355932203</v>
      </c>
      <c r="E12" s="16">
        <f>'Income Statement'!E35</f>
        <v>50.485245901639338</v>
      </c>
      <c r="F12" s="16">
        <f>'Income Statement'!F35</f>
        <v>36.340677966101708</v>
      </c>
      <c r="G12" s="16">
        <f>'Income Statement'!G35</f>
        <v>45.956818181818178</v>
      </c>
      <c r="I12" s="21"/>
      <c r="J12" s="22"/>
      <c r="K12" s="22"/>
      <c r="L12" s="23"/>
    </row>
    <row r="13" spans="2:12" ht="19.5" thickBot="1" x14ac:dyDescent="0.3">
      <c r="B13" s="17" t="s">
        <v>148</v>
      </c>
      <c r="C13" s="17">
        <f>ROUND(C11/C12, 2)</f>
        <v>10.15</v>
      </c>
      <c r="D13" s="17">
        <f t="shared" ref="D13:G13" si="1">ROUND(D11/D12, 2)</f>
        <v>11.32</v>
      </c>
      <c r="E13" s="17">
        <f t="shared" si="1"/>
        <v>7.76</v>
      </c>
      <c r="F13" s="17">
        <f t="shared" si="1"/>
        <v>11.41</v>
      </c>
      <c r="G13" s="17">
        <f t="shared" si="1"/>
        <v>0</v>
      </c>
      <c r="I13" s="24"/>
      <c r="J13" s="25"/>
      <c r="K13" s="25"/>
      <c r="L13" s="26"/>
    </row>
    <row r="14" spans="2:12" ht="15.75" thickTop="1" x14ac:dyDescent="0.25"/>
    <row r="15" spans="2:12" ht="19.5" thickBot="1" x14ac:dyDescent="0.3">
      <c r="B15" s="14" t="s">
        <v>149</v>
      </c>
      <c r="C15" s="14"/>
      <c r="D15" s="14"/>
      <c r="E15" s="14"/>
      <c r="F15" s="14"/>
      <c r="G15" s="14"/>
    </row>
    <row r="16" spans="2:12" ht="19.5" thickTop="1" x14ac:dyDescent="0.25">
      <c r="B16" s="15" t="str">
        <f>'Balance Sheet'!B9</f>
        <v>Net Worth</v>
      </c>
      <c r="C16" s="16">
        <f>'Balance Sheet'!C9</f>
        <v>12571.6</v>
      </c>
      <c r="D16" s="16">
        <f>'Balance Sheet'!D9</f>
        <v>15631.5</v>
      </c>
      <c r="E16" s="16">
        <f>'Balance Sheet'!E9</f>
        <v>21399.199999999997</v>
      </c>
      <c r="F16" s="16">
        <f>'Balance Sheet'!F9</f>
        <v>25272.799999999999</v>
      </c>
      <c r="G16" s="16">
        <f>'Balance Sheet'!G9</f>
        <v>31339.1</v>
      </c>
      <c r="I16" s="18"/>
      <c r="J16" s="19"/>
      <c r="K16" s="19"/>
      <c r="L16" s="20"/>
    </row>
    <row r="17" spans="2:12" ht="18.75" x14ac:dyDescent="0.25">
      <c r="B17" s="15" t="str">
        <f>'Income Statement'!B35</f>
        <v>Total Shares Outstanding(cr)</v>
      </c>
      <c r="C17" s="16">
        <f>'Income Statement'!C35</f>
        <v>39.347368421052622</v>
      </c>
      <c r="D17" s="16">
        <f>'Income Statement'!D35</f>
        <v>29.322881355932203</v>
      </c>
      <c r="E17" s="16">
        <f>'Income Statement'!E35</f>
        <v>50.485245901639338</v>
      </c>
      <c r="F17" s="16">
        <f>'Income Statement'!F35</f>
        <v>36.340677966101708</v>
      </c>
      <c r="G17" s="16">
        <f>'Income Statement'!G35</f>
        <v>45.956818181818178</v>
      </c>
      <c r="I17" s="21"/>
      <c r="J17" s="22"/>
      <c r="K17" s="22"/>
      <c r="L17" s="23"/>
    </row>
    <row r="18" spans="2:12" ht="19.5" thickBot="1" x14ac:dyDescent="0.3">
      <c r="B18" s="17" t="s">
        <v>150</v>
      </c>
      <c r="C18" s="17">
        <f>ROUND(C16/C17, 2)</f>
        <v>319.5</v>
      </c>
      <c r="D18" s="17">
        <f t="shared" ref="D18:G18" si="2">ROUND(D16/D17, 2)</f>
        <v>533.08000000000004</v>
      </c>
      <c r="E18" s="17">
        <f t="shared" si="2"/>
        <v>423.87</v>
      </c>
      <c r="F18" s="17">
        <f t="shared" si="2"/>
        <v>695.44</v>
      </c>
      <c r="G18" s="17">
        <f t="shared" si="2"/>
        <v>681.92</v>
      </c>
      <c r="I18" s="24"/>
      <c r="J18" s="25"/>
      <c r="K18" s="25"/>
      <c r="L18" s="26"/>
    </row>
    <row r="19" spans="2:12" ht="15.75" thickTop="1" x14ac:dyDescent="0.25"/>
    <row r="20" spans="2:12" ht="18.75" x14ac:dyDescent="0.25">
      <c r="B20" s="14" t="s">
        <v>151</v>
      </c>
      <c r="C20" s="14"/>
      <c r="D20" s="14"/>
      <c r="E20" s="14"/>
      <c r="F20" s="14"/>
      <c r="G20" s="14"/>
    </row>
    <row r="21" spans="2:12" ht="18.75" x14ac:dyDescent="0.25">
      <c r="B21" s="15" t="str">
        <f>'Income Statement'!B28</f>
        <v>Equity Share Dividend</v>
      </c>
      <c r="C21" s="16">
        <f>'Income Statement'!C28</f>
        <v>399.2</v>
      </c>
      <c r="D21" s="16">
        <f>'Income Statement'!D28</f>
        <v>332</v>
      </c>
      <c r="E21" s="16">
        <f>'Income Statement'!E28</f>
        <v>391.6</v>
      </c>
      <c r="F21" s="16">
        <f>'Income Statement'!F28</f>
        <v>414.7</v>
      </c>
      <c r="G21" s="16">
        <f>'Income Statement'!G28</f>
        <v>0</v>
      </c>
    </row>
    <row r="22" spans="2:12" ht="18.75" x14ac:dyDescent="0.25">
      <c r="B22" s="15" t="str">
        <f>'Income Statement'!B35</f>
        <v>Total Shares Outstanding(cr)</v>
      </c>
      <c r="C22" s="16">
        <f>'Income Statement'!C35</f>
        <v>39.347368421052622</v>
      </c>
      <c r="D22" s="16">
        <f>'Income Statement'!D35</f>
        <v>29.322881355932203</v>
      </c>
      <c r="E22" s="16">
        <f>'Income Statement'!E35</f>
        <v>50.485245901639338</v>
      </c>
      <c r="F22" s="16">
        <f>'Income Statement'!F35</f>
        <v>36.340677966101708</v>
      </c>
      <c r="G22" s="16">
        <f>'Income Statement'!G35</f>
        <v>45.956818181818178</v>
      </c>
    </row>
    <row r="23" spans="2:12" ht="18.75" x14ac:dyDescent="0.25">
      <c r="B23" s="15" t="s">
        <v>148</v>
      </c>
      <c r="C23" s="16">
        <f>ROUND(C21/C22, 2)</f>
        <v>10.15</v>
      </c>
      <c r="D23" s="16">
        <f t="shared" ref="D23:G23" si="3">ROUND(D21/D22, 2)</f>
        <v>11.32</v>
      </c>
      <c r="E23" s="16">
        <f t="shared" si="3"/>
        <v>7.76</v>
      </c>
      <c r="F23" s="16">
        <f t="shared" si="3"/>
        <v>11.41</v>
      </c>
      <c r="G23" s="16">
        <f t="shared" si="3"/>
        <v>0</v>
      </c>
    </row>
    <row r="24" spans="2:12" ht="19.5" thickBot="1" x14ac:dyDescent="0.3">
      <c r="B24" s="15" t="str">
        <f>'Income Statement'!B27</f>
        <v>Reported Net Profit(PAT)</v>
      </c>
      <c r="C24" s="16">
        <f>'Income Statement'!C27</f>
        <v>2242.7999999999993</v>
      </c>
      <c r="D24" s="16">
        <f>'Income Statement'!D27</f>
        <v>3460.1</v>
      </c>
      <c r="E24" s="16">
        <f>'Income Statement'!E27</f>
        <v>6159.1999999999989</v>
      </c>
      <c r="F24" s="16">
        <f>'Income Statement'!F27</f>
        <v>4288.2000000000016</v>
      </c>
      <c r="G24" s="16">
        <f>'Income Statement'!G27</f>
        <v>6066.2999999999993</v>
      </c>
    </row>
    <row r="25" spans="2:12" ht="19.5" thickTop="1" x14ac:dyDescent="0.25">
      <c r="B25" s="15" t="str">
        <f>'Income Statement'!B35</f>
        <v>Total Shares Outstanding(cr)</v>
      </c>
      <c r="C25" s="16">
        <f>'Income Statement'!C35</f>
        <v>39.347368421052622</v>
      </c>
      <c r="D25" s="16">
        <f>'Income Statement'!D35</f>
        <v>29.322881355932203</v>
      </c>
      <c r="E25" s="16">
        <f>'Income Statement'!E35</f>
        <v>50.485245901639338</v>
      </c>
      <c r="F25" s="16">
        <f>'Income Statement'!F35</f>
        <v>36.340677966101708</v>
      </c>
      <c r="G25" s="16">
        <f>'Income Statement'!G35</f>
        <v>45.956818181818178</v>
      </c>
      <c r="I25" s="18"/>
      <c r="J25" s="19"/>
      <c r="K25" s="19"/>
      <c r="L25" s="20"/>
    </row>
    <row r="26" spans="2:12" ht="18.75" x14ac:dyDescent="0.25">
      <c r="B26" s="15" t="s">
        <v>146</v>
      </c>
      <c r="C26" s="16">
        <f>C24/C25</f>
        <v>56.999999999999993</v>
      </c>
      <c r="D26" s="16">
        <f t="shared" ref="D26:G26" si="4">D24/D25</f>
        <v>118</v>
      </c>
      <c r="E26" s="16">
        <f t="shared" si="4"/>
        <v>122</v>
      </c>
      <c r="F26" s="16">
        <f t="shared" si="4"/>
        <v>118</v>
      </c>
      <c r="G26" s="16">
        <f t="shared" si="4"/>
        <v>132</v>
      </c>
      <c r="I26" s="21"/>
      <c r="J26" s="22"/>
      <c r="K26" s="22"/>
      <c r="L26" s="23"/>
    </row>
    <row r="27" spans="2:12" ht="19.5" thickBot="1" x14ac:dyDescent="0.3">
      <c r="B27" s="17" t="s">
        <v>152</v>
      </c>
      <c r="C27" s="17">
        <f>ROUND(C23/C26, 2)</f>
        <v>0.18</v>
      </c>
      <c r="D27" s="17">
        <f t="shared" ref="D27:G27" si="5">ROUND(D23/D26, 2)</f>
        <v>0.1</v>
      </c>
      <c r="E27" s="17">
        <f t="shared" si="5"/>
        <v>0.06</v>
      </c>
      <c r="F27" s="17">
        <f t="shared" si="5"/>
        <v>0.1</v>
      </c>
      <c r="G27" s="17">
        <f t="shared" si="5"/>
        <v>0</v>
      </c>
      <c r="I27" s="24"/>
      <c r="J27" s="25"/>
      <c r="K27" s="25"/>
      <c r="L27" s="26"/>
    </row>
    <row r="28" spans="2:12" ht="15.75" thickTop="1" x14ac:dyDescent="0.25"/>
    <row r="29" spans="2:12" ht="18.75" x14ac:dyDescent="0.25">
      <c r="B29" s="14" t="s">
        <v>153</v>
      </c>
      <c r="C29" s="14"/>
      <c r="D29" s="14"/>
      <c r="E29" s="14"/>
      <c r="F29" s="14"/>
      <c r="G29" s="14"/>
    </row>
    <row r="30" spans="2:12" ht="19.5" thickBot="1" x14ac:dyDescent="0.3">
      <c r="B30" s="15" t="str">
        <f>'Income Statement'!B28</f>
        <v>Equity Share Dividend</v>
      </c>
      <c r="C30" s="16">
        <f>'Income Statement'!C28</f>
        <v>399.2</v>
      </c>
      <c r="D30" s="16">
        <f>'Income Statement'!D28</f>
        <v>332</v>
      </c>
      <c r="E30" s="16">
        <f>'Income Statement'!E28</f>
        <v>391.6</v>
      </c>
      <c r="F30" s="16">
        <f>'Income Statement'!F28</f>
        <v>414.7</v>
      </c>
      <c r="G30" s="16">
        <f>'Income Statement'!G28</f>
        <v>0</v>
      </c>
    </row>
    <row r="31" spans="2:12" ht="19.5" thickTop="1" x14ac:dyDescent="0.25">
      <c r="B31" s="15" t="str">
        <f>'Income Statement'!B35</f>
        <v>Total Shares Outstanding(cr)</v>
      </c>
      <c r="C31" s="16">
        <f>'Income Statement'!C35</f>
        <v>39.347368421052622</v>
      </c>
      <c r="D31" s="16">
        <f>'Income Statement'!D35</f>
        <v>29.322881355932203</v>
      </c>
      <c r="E31" s="16">
        <f>'Income Statement'!E35</f>
        <v>50.485245901639338</v>
      </c>
      <c r="F31" s="16">
        <f>'Income Statement'!F35</f>
        <v>36.340677966101708</v>
      </c>
      <c r="G31" s="16">
        <f>'Income Statement'!G35</f>
        <v>45.956818181818178</v>
      </c>
      <c r="I31" s="18"/>
      <c r="J31" s="19"/>
      <c r="K31" s="19"/>
      <c r="L31" s="20"/>
    </row>
    <row r="32" spans="2:12" ht="18.75" x14ac:dyDescent="0.25">
      <c r="B32" s="15" t="s">
        <v>154</v>
      </c>
      <c r="C32" s="16">
        <f>ROUND(C30/C31, 2)</f>
        <v>10.15</v>
      </c>
      <c r="D32" s="16">
        <f t="shared" ref="D32:G32" si="6">ROUND(D30/D31, 2)</f>
        <v>11.32</v>
      </c>
      <c r="E32" s="16">
        <f t="shared" si="6"/>
        <v>7.76</v>
      </c>
      <c r="F32" s="16">
        <f t="shared" si="6"/>
        <v>11.41</v>
      </c>
      <c r="G32" s="16">
        <f t="shared" si="6"/>
        <v>0</v>
      </c>
      <c r="I32" s="21"/>
      <c r="J32" s="22"/>
      <c r="K32" s="22"/>
      <c r="L32" s="23"/>
    </row>
    <row r="33" spans="2:12" ht="19.5" thickBot="1" x14ac:dyDescent="0.3">
      <c r="B33" s="17" t="s">
        <v>155</v>
      </c>
      <c r="C33" s="27">
        <f>1-C32</f>
        <v>-9.15</v>
      </c>
      <c r="D33" s="27">
        <f t="shared" ref="D33:G33" si="7">1-D32</f>
        <v>-10.32</v>
      </c>
      <c r="E33" s="27">
        <f t="shared" si="7"/>
        <v>-6.76</v>
      </c>
      <c r="F33" s="27">
        <f t="shared" si="7"/>
        <v>-10.41</v>
      </c>
      <c r="G33" s="27">
        <f t="shared" si="7"/>
        <v>1</v>
      </c>
      <c r="I33" s="24"/>
      <c r="J33" s="25"/>
      <c r="K33" s="25"/>
      <c r="L33" s="26"/>
    </row>
    <row r="34" spans="2:12" ht="15.75" thickTop="1" x14ac:dyDescent="0.25"/>
    <row r="35" spans="2:12" ht="19.5" thickBot="1" x14ac:dyDescent="0.3">
      <c r="B35" s="14" t="s">
        <v>156</v>
      </c>
      <c r="C35" s="14"/>
      <c r="D35" s="14"/>
      <c r="E35" s="14"/>
      <c r="F35" s="14"/>
      <c r="G35" s="14"/>
    </row>
    <row r="36" spans="2:12" ht="19.5" thickTop="1" x14ac:dyDescent="0.25">
      <c r="B36" s="15" t="str">
        <f>'Income Statement'!B5</f>
        <v>Gross Sales</v>
      </c>
      <c r="C36" s="16">
        <f>'Income Statement'!C5</f>
        <v>14202.8</v>
      </c>
      <c r="D36" s="16">
        <f>'Income Statement'!D5</f>
        <v>15385.1</v>
      </c>
      <c r="E36" s="16">
        <f>'Income Statement'!E5</f>
        <v>17460</v>
      </c>
      <c r="F36" s="16">
        <f>'Income Statement'!F5</f>
        <v>18972.2</v>
      </c>
      <c r="G36" s="16">
        <f>'Income Statement'!G5</f>
        <v>21439.1</v>
      </c>
      <c r="I36" s="18"/>
      <c r="J36" s="19"/>
      <c r="K36" s="19"/>
      <c r="L36" s="20"/>
    </row>
    <row r="37" spans="2:12" ht="18.75" x14ac:dyDescent="0.25">
      <c r="B37" s="15" t="str">
        <f>'Income Statement'!B11</f>
        <v>Cost Of Materials Consumed</v>
      </c>
      <c r="C37" s="16">
        <f>'Income Statement'!C11</f>
        <v>2630.9</v>
      </c>
      <c r="D37" s="16">
        <f>'Income Statement'!D11</f>
        <v>2889.4</v>
      </c>
      <c r="E37" s="16">
        <f>'Income Statement'!E11</f>
        <v>2984.8</v>
      </c>
      <c r="F37" s="16">
        <f>'Income Statement'!F11</f>
        <v>4295.8</v>
      </c>
      <c r="G37" s="16">
        <f>'Income Statement'!G11</f>
        <v>4312.3999999999996</v>
      </c>
      <c r="I37" s="21"/>
      <c r="J37" s="22"/>
      <c r="K37" s="22"/>
      <c r="L37" s="23"/>
    </row>
    <row r="38" spans="2:12" ht="19.5" thickBot="1" x14ac:dyDescent="0.3">
      <c r="B38" s="17" t="s">
        <v>157</v>
      </c>
      <c r="C38" s="28">
        <f>ROUND(C36- C37, 2)</f>
        <v>11571.9</v>
      </c>
      <c r="D38" s="28">
        <f t="shared" ref="D38:G38" si="8">ROUND(D36- D37, 2)</f>
        <v>12495.7</v>
      </c>
      <c r="E38" s="28">
        <f t="shared" si="8"/>
        <v>14475.2</v>
      </c>
      <c r="F38" s="28">
        <f t="shared" si="8"/>
        <v>14676.4</v>
      </c>
      <c r="G38" s="28">
        <f t="shared" si="8"/>
        <v>17126.7</v>
      </c>
      <c r="I38" s="24"/>
      <c r="J38" s="25"/>
      <c r="K38" s="25"/>
      <c r="L38" s="26"/>
    </row>
    <row r="39" spans="2:12" ht="15.75" thickTop="1" x14ac:dyDescent="0.25"/>
    <row r="40" spans="2:12" ht="19.5" thickBot="1" x14ac:dyDescent="0.3">
      <c r="B40" s="14" t="s">
        <v>158</v>
      </c>
      <c r="C40" s="14"/>
      <c r="D40" s="14"/>
      <c r="E40" s="14"/>
      <c r="F40" s="14"/>
      <c r="G40" s="14"/>
    </row>
    <row r="41" spans="2:12" ht="19.5" thickTop="1" x14ac:dyDescent="0.25">
      <c r="B41" s="15" t="str">
        <f>'Income Statement'!B5</f>
        <v>Gross Sales</v>
      </c>
      <c r="C41" s="16">
        <f>'Income Statement'!C5</f>
        <v>14202.8</v>
      </c>
      <c r="D41" s="16">
        <f>'Income Statement'!D5</f>
        <v>15385.1</v>
      </c>
      <c r="E41" s="16">
        <f>'Income Statement'!E5</f>
        <v>17460</v>
      </c>
      <c r="F41" s="16">
        <f>'Income Statement'!F5</f>
        <v>18972.2</v>
      </c>
      <c r="G41" s="16">
        <f>'Income Statement'!G5</f>
        <v>21439.1</v>
      </c>
      <c r="I41" s="18"/>
      <c r="J41" s="19"/>
      <c r="K41" s="19"/>
      <c r="L41" s="20"/>
    </row>
    <row r="42" spans="2:12" ht="18.75" x14ac:dyDescent="0.25">
      <c r="B42" s="15" t="str">
        <f>'Income Statement'!B15</f>
        <v>Total Expenditure</v>
      </c>
      <c r="C42" s="16">
        <f>'Income Statement'!C15</f>
        <v>10521.2</v>
      </c>
      <c r="D42" s="16">
        <f>'Income Statement'!D15</f>
        <v>10653</v>
      </c>
      <c r="E42" s="16">
        <f>'Income Statement'!E15</f>
        <v>10800.3</v>
      </c>
      <c r="F42" s="16">
        <f>'Income Statement'!F15</f>
        <v>12717.7</v>
      </c>
      <c r="G42" s="16">
        <f>'Income Statement'!G15</f>
        <v>13717.300000000001</v>
      </c>
      <c r="I42" s="21"/>
      <c r="J42" s="22"/>
      <c r="K42" s="22"/>
      <c r="L42" s="23"/>
    </row>
    <row r="43" spans="2:12" ht="19.5" thickBot="1" x14ac:dyDescent="0.3">
      <c r="B43" s="17" t="s">
        <v>159</v>
      </c>
      <c r="C43" s="28">
        <f>ROUND(C41- C42, 2)</f>
        <v>3681.6</v>
      </c>
      <c r="D43" s="28">
        <f t="shared" ref="D43:G43" si="9">ROUND(D41- D42, 2)</f>
        <v>4732.1000000000004</v>
      </c>
      <c r="E43" s="28">
        <f t="shared" si="9"/>
        <v>6659.7</v>
      </c>
      <c r="F43" s="28">
        <f t="shared" si="9"/>
        <v>6254.5</v>
      </c>
      <c r="G43" s="28">
        <f t="shared" si="9"/>
        <v>7721.8</v>
      </c>
      <c r="I43" s="24"/>
      <c r="J43" s="25"/>
      <c r="K43" s="25"/>
      <c r="L43" s="26"/>
    </row>
    <row r="44" spans="2:12" ht="15.75" thickTop="1" x14ac:dyDescent="0.25"/>
    <row r="45" spans="2:12" ht="19.5" thickBot="1" x14ac:dyDescent="0.3">
      <c r="B45" s="14" t="s">
        <v>160</v>
      </c>
      <c r="C45" s="14"/>
      <c r="D45" s="14"/>
      <c r="E45" s="14"/>
      <c r="F45" s="14"/>
      <c r="G45" s="14"/>
    </row>
    <row r="46" spans="2:12" ht="19.5" thickTop="1" x14ac:dyDescent="0.25">
      <c r="B46" s="15" t="str">
        <f>'Income Statement'!B27</f>
        <v>Reported Net Profit(PAT)</v>
      </c>
      <c r="C46" s="16">
        <f>'Income Statement'!C27</f>
        <v>2242.7999999999993</v>
      </c>
      <c r="D46" s="16">
        <f>'Income Statement'!D27</f>
        <v>3460.1</v>
      </c>
      <c r="E46" s="16">
        <f>'Income Statement'!E27</f>
        <v>6159.1999999999989</v>
      </c>
      <c r="F46" s="16">
        <f>'Income Statement'!F27</f>
        <v>4288.2000000000016</v>
      </c>
      <c r="G46" s="16">
        <f>'Income Statement'!G27</f>
        <v>6066.2999999999993</v>
      </c>
      <c r="I46" s="18"/>
      <c r="J46" s="19"/>
      <c r="K46" s="19"/>
      <c r="L46" s="20"/>
    </row>
    <row r="47" spans="2:12" ht="18.75" x14ac:dyDescent="0.25">
      <c r="B47" s="15" t="str">
        <f>'Balance Sheet'!B40</f>
        <v>Total Assets</v>
      </c>
      <c r="C47" s="16">
        <f>'Balance Sheet'!C40</f>
        <v>22544.300000000003</v>
      </c>
      <c r="D47" s="16">
        <f>'Balance Sheet'!D40</f>
        <v>24073.5</v>
      </c>
      <c r="E47" s="16">
        <f>'Balance Sheet'!E40</f>
        <v>29025.699999999997</v>
      </c>
      <c r="F47" s="16">
        <f>'Balance Sheet'!F40</f>
        <v>34247.899999999994</v>
      </c>
      <c r="G47" s="16">
        <f>'Balance Sheet'!G40</f>
        <v>41873.599999999999</v>
      </c>
      <c r="I47" s="21"/>
      <c r="J47" s="22"/>
      <c r="K47" s="22"/>
      <c r="L47" s="23"/>
    </row>
    <row r="48" spans="2:12" ht="19.5" thickBot="1" x14ac:dyDescent="0.3">
      <c r="B48" s="17" t="s">
        <v>161</v>
      </c>
      <c r="C48" s="27">
        <f>ROUND(C46/ C47, 2)</f>
        <v>0.1</v>
      </c>
      <c r="D48" s="27">
        <f t="shared" ref="D48:G48" si="10">ROUND(D46/ D47, 2)</f>
        <v>0.14000000000000001</v>
      </c>
      <c r="E48" s="27">
        <f t="shared" si="10"/>
        <v>0.21</v>
      </c>
      <c r="F48" s="27">
        <f t="shared" si="10"/>
        <v>0.13</v>
      </c>
      <c r="G48" s="27">
        <f t="shared" si="10"/>
        <v>0.14000000000000001</v>
      </c>
      <c r="I48" s="24"/>
      <c r="J48" s="25"/>
      <c r="K48" s="25"/>
      <c r="L48" s="26"/>
    </row>
    <row r="49" spans="2:12" ht="15.75" thickTop="1" x14ac:dyDescent="0.25"/>
    <row r="50" spans="2:12" ht="18.75" x14ac:dyDescent="0.25">
      <c r="B50" s="14" t="s">
        <v>162</v>
      </c>
      <c r="C50" s="14"/>
      <c r="D50" s="14"/>
      <c r="E50" s="14"/>
      <c r="F50" s="14"/>
      <c r="G50" s="14"/>
    </row>
    <row r="51" spans="2:12" ht="19.5" thickBot="1" x14ac:dyDescent="0.3">
      <c r="B51" s="15" t="str">
        <f>'Income Statement'!B19</f>
        <v>PBIT</v>
      </c>
      <c r="C51" s="16">
        <f>'Income Statement'!C19</f>
        <v>2759.5999999999995</v>
      </c>
      <c r="D51" s="16">
        <f>'Income Statement'!D19</f>
        <v>3934.8</v>
      </c>
      <c r="E51" s="16">
        <f>'Income Statement'!E19</f>
        <v>6117.1999999999989</v>
      </c>
      <c r="F51" s="16">
        <f>'Income Statement'!F19</f>
        <v>5317.1000000000013</v>
      </c>
      <c r="G51" s="16">
        <f>'Income Statement'!G19</f>
        <v>7040.9999999999991</v>
      </c>
    </row>
    <row r="52" spans="2:12" ht="19.5" thickTop="1" x14ac:dyDescent="0.25">
      <c r="B52" s="15" t="str">
        <f>'Balance Sheet'!B13</f>
        <v>Total Debt</v>
      </c>
      <c r="C52" s="16">
        <f>'Balance Sheet'!C13</f>
        <v>5260.1</v>
      </c>
      <c r="D52" s="16">
        <f>'Balance Sheet'!D13</f>
        <v>3459.8</v>
      </c>
      <c r="E52" s="16">
        <f>'Balance Sheet'!E13</f>
        <v>1785.6000000000001</v>
      </c>
      <c r="F52" s="16">
        <f>'Balance Sheet'!F13</f>
        <v>2973.3</v>
      </c>
      <c r="G52" s="16">
        <f>'Balance Sheet'!G13</f>
        <v>3284.2</v>
      </c>
      <c r="I52" s="18"/>
      <c r="J52" s="19"/>
      <c r="K52" s="19"/>
      <c r="L52" s="20"/>
    </row>
    <row r="53" spans="2:12" ht="18.75" x14ac:dyDescent="0.25">
      <c r="B53" s="15" t="str">
        <f>'Balance Sheet'!B9</f>
        <v>Net Worth</v>
      </c>
      <c r="C53" s="16">
        <f>'Balance Sheet'!C9</f>
        <v>12571.6</v>
      </c>
      <c r="D53" s="16">
        <f>'Balance Sheet'!D9</f>
        <v>15631.5</v>
      </c>
      <c r="E53" s="16">
        <f>'Balance Sheet'!E9</f>
        <v>21399.199999999997</v>
      </c>
      <c r="F53" s="16">
        <f>'Balance Sheet'!F9</f>
        <v>25272.799999999999</v>
      </c>
      <c r="G53" s="16">
        <f>'Balance Sheet'!G9</f>
        <v>31339.1</v>
      </c>
      <c r="I53" s="21"/>
      <c r="J53" s="22"/>
      <c r="K53" s="22"/>
      <c r="L53" s="23"/>
    </row>
    <row r="54" spans="2:12" ht="19.5" thickBot="1" x14ac:dyDescent="0.3">
      <c r="B54" s="17" t="s">
        <v>163</v>
      </c>
      <c r="C54" s="27">
        <f>ROUND(C51/ (C52+ C52), 2)</f>
        <v>0.26</v>
      </c>
      <c r="D54" s="27">
        <f t="shared" ref="D54:G54" si="11">ROUND(D51/ (D52+ D52), 2)</f>
        <v>0.56999999999999995</v>
      </c>
      <c r="E54" s="27">
        <f t="shared" si="11"/>
        <v>1.71</v>
      </c>
      <c r="F54" s="27">
        <f t="shared" si="11"/>
        <v>0.89</v>
      </c>
      <c r="G54" s="27">
        <f t="shared" si="11"/>
        <v>1.07</v>
      </c>
      <c r="I54" s="24"/>
      <c r="J54" s="25"/>
      <c r="K54" s="25"/>
      <c r="L54" s="26"/>
    </row>
    <row r="55" spans="2:12" ht="15.75" thickTop="1" x14ac:dyDescent="0.25"/>
    <row r="56" spans="2:12" ht="19.5" thickBot="1" x14ac:dyDescent="0.3">
      <c r="B56" s="14" t="s">
        <v>164</v>
      </c>
      <c r="C56" s="14"/>
      <c r="D56" s="14"/>
      <c r="E56" s="14"/>
      <c r="F56" s="14"/>
      <c r="G56" s="14"/>
    </row>
    <row r="57" spans="2:12" ht="19.5" thickTop="1" x14ac:dyDescent="0.25">
      <c r="B57" s="15" t="str">
        <f>'Income Statement'!B27</f>
        <v>Reported Net Profit(PAT)</v>
      </c>
      <c r="C57" s="16">
        <f>'Income Statement'!C27</f>
        <v>2242.7999999999993</v>
      </c>
      <c r="D57" s="16">
        <f>'Income Statement'!D27</f>
        <v>3460.1</v>
      </c>
      <c r="E57" s="16">
        <f>'Income Statement'!E27</f>
        <v>6159.1999999999989</v>
      </c>
      <c r="F57" s="16">
        <f>'Income Statement'!F27</f>
        <v>4288.2000000000016</v>
      </c>
      <c r="G57" s="16">
        <f>'Income Statement'!G27</f>
        <v>6066.2999999999993</v>
      </c>
      <c r="I57" s="18"/>
      <c r="J57" s="19"/>
      <c r="K57" s="19"/>
      <c r="L57" s="20"/>
    </row>
    <row r="58" spans="2:12" ht="18.75" x14ac:dyDescent="0.25">
      <c r="B58" s="15" t="str">
        <f>'Balance Sheet'!B9</f>
        <v>Net Worth</v>
      </c>
      <c r="C58" s="16">
        <f>'Balance Sheet'!C9</f>
        <v>12571.6</v>
      </c>
      <c r="D58" s="16">
        <f>'Balance Sheet'!D9</f>
        <v>15631.5</v>
      </c>
      <c r="E58" s="16">
        <f>'Balance Sheet'!E9</f>
        <v>21399.199999999997</v>
      </c>
      <c r="F58" s="16">
        <f>'Balance Sheet'!F9</f>
        <v>25272.799999999999</v>
      </c>
      <c r="G58" s="16">
        <f>'Balance Sheet'!G9</f>
        <v>31339.1</v>
      </c>
      <c r="I58" s="21"/>
      <c r="J58" s="22"/>
      <c r="K58" s="22"/>
      <c r="L58" s="23"/>
    </row>
    <row r="59" spans="2:12" ht="19.5" thickBot="1" x14ac:dyDescent="0.3">
      <c r="B59" s="17" t="s">
        <v>165</v>
      </c>
      <c r="C59" s="27">
        <f>ROUND(C57/ (C58+ C58), 2)</f>
        <v>0.09</v>
      </c>
      <c r="D59" s="27">
        <f t="shared" ref="D59:G59" si="12">ROUND(D57/ (D58+ D58), 2)</f>
        <v>0.11</v>
      </c>
      <c r="E59" s="27">
        <f t="shared" si="12"/>
        <v>0.14000000000000001</v>
      </c>
      <c r="F59" s="27">
        <f t="shared" si="12"/>
        <v>0.08</v>
      </c>
      <c r="G59" s="27">
        <f t="shared" si="12"/>
        <v>0.1</v>
      </c>
      <c r="I59" s="24"/>
      <c r="J59" s="25"/>
      <c r="K59" s="25"/>
      <c r="L59" s="26"/>
    </row>
    <row r="60" spans="2:12" ht="15.75" thickTop="1" x14ac:dyDescent="0.25"/>
    <row r="61" spans="2:12" ht="19.5" thickBot="1" x14ac:dyDescent="0.3">
      <c r="B61" s="14" t="s">
        <v>166</v>
      </c>
      <c r="C61" s="14"/>
      <c r="D61" s="14"/>
      <c r="E61" s="14"/>
      <c r="F61" s="14"/>
      <c r="G61" s="14"/>
    </row>
    <row r="62" spans="2:12" ht="19.5" thickTop="1" x14ac:dyDescent="0.25">
      <c r="B62" s="15" t="str">
        <f>'Balance Sheet'!B13</f>
        <v>Total Debt</v>
      </c>
      <c r="C62" s="16">
        <f>'Balance Sheet'!C13</f>
        <v>5260.1</v>
      </c>
      <c r="D62" s="16">
        <f>'Balance Sheet'!D13</f>
        <v>3459.8</v>
      </c>
      <c r="E62" s="16">
        <f>'Balance Sheet'!E13</f>
        <v>1785.6000000000001</v>
      </c>
      <c r="F62" s="16">
        <f>'Balance Sheet'!F13</f>
        <v>2973.3</v>
      </c>
      <c r="G62" s="16">
        <f>'Balance Sheet'!G13</f>
        <v>3284.2</v>
      </c>
      <c r="I62" s="18"/>
      <c r="J62" s="19"/>
      <c r="K62" s="19"/>
      <c r="L62" s="20"/>
    </row>
    <row r="63" spans="2:12" ht="18.75" x14ac:dyDescent="0.25">
      <c r="B63" s="15" t="str">
        <f>'Balance Sheet'!B9</f>
        <v>Net Worth</v>
      </c>
      <c r="C63" s="16">
        <f>'Balance Sheet'!C9</f>
        <v>12571.6</v>
      </c>
      <c r="D63" s="16">
        <f>'Balance Sheet'!D9</f>
        <v>15631.5</v>
      </c>
      <c r="E63" s="16">
        <f>'Balance Sheet'!E9</f>
        <v>21399.199999999997</v>
      </c>
      <c r="F63" s="16">
        <f>'Balance Sheet'!F9</f>
        <v>25272.799999999999</v>
      </c>
      <c r="G63" s="16">
        <f>'Balance Sheet'!G9</f>
        <v>31339.1</v>
      </c>
      <c r="I63" s="21"/>
      <c r="J63" s="22"/>
      <c r="K63" s="22"/>
      <c r="L63" s="23"/>
    </row>
    <row r="64" spans="2:12" ht="19.5" thickBot="1" x14ac:dyDescent="0.3">
      <c r="B64" s="17" t="s">
        <v>167</v>
      </c>
      <c r="C64" s="17">
        <f>ROUND(C62/ C63, 2)</f>
        <v>0.42</v>
      </c>
      <c r="D64" s="17">
        <f t="shared" ref="D64:G64" si="13">ROUND(D62/ D63, 2)</f>
        <v>0.22</v>
      </c>
      <c r="E64" s="17">
        <f t="shared" si="13"/>
        <v>0.08</v>
      </c>
      <c r="F64" s="17">
        <f t="shared" si="13"/>
        <v>0.12</v>
      </c>
      <c r="G64" s="17">
        <f t="shared" si="13"/>
        <v>0.1</v>
      </c>
      <c r="I64" s="24"/>
      <c r="J64" s="25"/>
      <c r="K64" s="25"/>
      <c r="L64" s="26"/>
    </row>
    <row r="65" spans="2:12" ht="15.75" thickTop="1" x14ac:dyDescent="0.25"/>
    <row r="66" spans="2:12" ht="19.5" thickBot="1" x14ac:dyDescent="0.3">
      <c r="B66" s="14" t="s">
        <v>168</v>
      </c>
      <c r="C66" s="14"/>
      <c r="D66" s="14"/>
      <c r="E66" s="14"/>
      <c r="F66" s="14"/>
      <c r="G66" s="14"/>
    </row>
    <row r="67" spans="2:12" ht="19.5" thickTop="1" x14ac:dyDescent="0.25">
      <c r="B67" s="15" t="str">
        <f>'Balance Sheet'!B39</f>
        <v>Total Current Assets</v>
      </c>
      <c r="C67" s="16">
        <f>'Balance Sheet'!C39</f>
        <v>9807.5</v>
      </c>
      <c r="D67" s="16">
        <f>'Balance Sheet'!D39</f>
        <v>15423.599999999999</v>
      </c>
      <c r="E67" s="16">
        <f>'Balance Sheet'!E39</f>
        <v>21850.399999999998</v>
      </c>
      <c r="F67" s="16">
        <f>'Balance Sheet'!F39</f>
        <v>26367.199999999997</v>
      </c>
      <c r="G67" s="16">
        <f>'Balance Sheet'!G39</f>
        <v>35082</v>
      </c>
      <c r="I67" s="18"/>
      <c r="J67" s="19"/>
      <c r="K67" s="19"/>
      <c r="L67" s="20"/>
    </row>
    <row r="68" spans="2:12" ht="18.75" x14ac:dyDescent="0.25">
      <c r="B68" s="15" t="str">
        <f>'Balance Sheet'!B19</f>
        <v>Total Current Liabilities</v>
      </c>
      <c r="C68" s="16">
        <f>'Balance Sheet'!C19</f>
        <v>4712.6000000000004</v>
      </c>
      <c r="D68" s="16">
        <f>'Balance Sheet'!D19</f>
        <v>4982.2</v>
      </c>
      <c r="E68" s="16">
        <f>'Balance Sheet'!E19</f>
        <v>5840.9</v>
      </c>
      <c r="F68" s="16">
        <f>'Balance Sheet'!F19</f>
        <v>6001.8</v>
      </c>
      <c r="G68" s="16">
        <f>'Balance Sheet'!G19</f>
        <v>7250.3</v>
      </c>
      <c r="I68" s="21"/>
      <c r="J68" s="22"/>
      <c r="K68" s="22"/>
      <c r="L68" s="23"/>
    </row>
    <row r="69" spans="2:12" ht="19.5" thickBot="1" x14ac:dyDescent="0.3">
      <c r="B69" s="17" t="s">
        <v>169</v>
      </c>
      <c r="C69" s="17">
        <f>ROUND(C67/ C68, 2)</f>
        <v>2.08</v>
      </c>
      <c r="D69" s="17">
        <f t="shared" ref="D69:G69" si="14">ROUND(D67/ D68, 2)</f>
        <v>3.1</v>
      </c>
      <c r="E69" s="17">
        <f t="shared" si="14"/>
        <v>3.74</v>
      </c>
      <c r="F69" s="17">
        <f t="shared" si="14"/>
        <v>4.3899999999999997</v>
      </c>
      <c r="G69" s="17">
        <f t="shared" si="14"/>
        <v>4.84</v>
      </c>
      <c r="I69" s="24"/>
      <c r="J69" s="25"/>
      <c r="K69" s="25"/>
      <c r="L69" s="26"/>
    </row>
    <row r="70" spans="2:12" ht="15.75" thickTop="1" x14ac:dyDescent="0.25"/>
    <row r="71" spans="2:12" ht="18.75" x14ac:dyDescent="0.25">
      <c r="B71" s="14" t="s">
        <v>170</v>
      </c>
      <c r="C71" s="14"/>
      <c r="D71" s="14"/>
      <c r="E71" s="14"/>
      <c r="F71" s="14"/>
      <c r="G71" s="14"/>
    </row>
    <row r="72" spans="2:12" ht="19.5" thickBot="1" x14ac:dyDescent="0.3">
      <c r="B72" s="15" t="str">
        <f>'Balance Sheet'!B39</f>
        <v>Total Current Assets</v>
      </c>
      <c r="C72" s="16">
        <f>'Balance Sheet'!C39</f>
        <v>9807.5</v>
      </c>
      <c r="D72" s="16">
        <f>'Balance Sheet'!D39</f>
        <v>15423.599999999999</v>
      </c>
      <c r="E72" s="16">
        <f>'Balance Sheet'!E39</f>
        <v>21850.399999999998</v>
      </c>
      <c r="F72" s="16">
        <f>'Balance Sheet'!F39</f>
        <v>26367.199999999997</v>
      </c>
      <c r="G72" s="16">
        <f>'Balance Sheet'!G39</f>
        <v>35082</v>
      </c>
    </row>
    <row r="73" spans="2:12" ht="19.5" thickTop="1" x14ac:dyDescent="0.25">
      <c r="B73" s="15" t="str">
        <f>'Balance Sheet'!B36</f>
        <v>Inventories</v>
      </c>
      <c r="C73" s="16">
        <f>'Balance Sheet'!C36</f>
        <v>2908.9</v>
      </c>
      <c r="D73" s="16">
        <f>'Balance Sheet'!D36</f>
        <v>3357.9</v>
      </c>
      <c r="E73" s="16">
        <f>'Balance Sheet'!E36</f>
        <v>3506.7</v>
      </c>
      <c r="F73" s="16">
        <f>'Balance Sheet'!F36</f>
        <v>4541.2</v>
      </c>
      <c r="G73" s="16">
        <f>'Balance Sheet'!G36</f>
        <v>5088.3999999999996</v>
      </c>
      <c r="I73" s="18"/>
      <c r="J73" s="19"/>
      <c r="K73" s="19"/>
      <c r="L73" s="20"/>
    </row>
    <row r="74" spans="2:12" ht="18.75" x14ac:dyDescent="0.25">
      <c r="B74" s="15" t="str">
        <f>'Balance Sheet'!B19</f>
        <v>Total Current Liabilities</v>
      </c>
      <c r="C74" s="16">
        <f>'Balance Sheet'!C19</f>
        <v>4712.6000000000004</v>
      </c>
      <c r="D74" s="16">
        <f>'Balance Sheet'!D19</f>
        <v>4982.2</v>
      </c>
      <c r="E74" s="16">
        <f>'Balance Sheet'!E19</f>
        <v>5840.9</v>
      </c>
      <c r="F74" s="16">
        <f>'Balance Sheet'!F19</f>
        <v>6001.8</v>
      </c>
      <c r="G74" s="16">
        <f>'Balance Sheet'!G19</f>
        <v>7250.3</v>
      </c>
      <c r="I74" s="21"/>
      <c r="J74" s="22"/>
      <c r="K74" s="22"/>
      <c r="L74" s="23"/>
    </row>
    <row r="75" spans="2:12" ht="19.5" thickBot="1" x14ac:dyDescent="0.3">
      <c r="B75" s="17" t="s">
        <v>171</v>
      </c>
      <c r="C75" s="17">
        <f>ROUND((C72-C73)/ C74, 2)</f>
        <v>1.46</v>
      </c>
      <c r="D75" s="17">
        <f t="shared" ref="D75:G75" si="15">ROUND((D72-D73)/ D74, 2)</f>
        <v>2.42</v>
      </c>
      <c r="E75" s="17">
        <f t="shared" si="15"/>
        <v>3.14</v>
      </c>
      <c r="F75" s="17">
        <f t="shared" si="15"/>
        <v>3.64</v>
      </c>
      <c r="G75" s="17">
        <f t="shared" si="15"/>
        <v>4.1399999999999997</v>
      </c>
      <c r="I75" s="24"/>
      <c r="J75" s="25"/>
      <c r="K75" s="25"/>
      <c r="L75" s="26"/>
    </row>
    <row r="76" spans="2:12" ht="15.75" thickTop="1" x14ac:dyDescent="0.25"/>
    <row r="77" spans="2:12" ht="19.5" thickBot="1" x14ac:dyDescent="0.3">
      <c r="B77" s="14" t="s">
        <v>172</v>
      </c>
      <c r="C77" s="14"/>
      <c r="D77" s="14"/>
      <c r="E77" s="14"/>
      <c r="F77" s="14"/>
      <c r="G77" s="14"/>
    </row>
    <row r="78" spans="2:12" ht="19.5" thickTop="1" x14ac:dyDescent="0.25">
      <c r="B78" s="15" t="str">
        <f>'Income Statement'!B19</f>
        <v>PBIT</v>
      </c>
      <c r="C78" s="16">
        <f>'Income Statement'!C19</f>
        <v>2759.5999999999995</v>
      </c>
      <c r="D78" s="16">
        <f>'Income Statement'!D19</f>
        <v>3934.8</v>
      </c>
      <c r="E78" s="16">
        <f>'Income Statement'!E19</f>
        <v>6117.1999999999989</v>
      </c>
      <c r="F78" s="16">
        <f>'Income Statement'!F19</f>
        <v>5317.1000000000013</v>
      </c>
      <c r="G78" s="16">
        <f>'Income Statement'!G19</f>
        <v>7040.9999999999991</v>
      </c>
      <c r="I78" s="18"/>
      <c r="J78" s="19"/>
      <c r="K78" s="19"/>
      <c r="L78" s="20"/>
    </row>
    <row r="79" spans="2:12" ht="18.75" x14ac:dyDescent="0.25">
      <c r="B79" s="15" t="str">
        <f>'Income Statement'!B20</f>
        <v>Finance Costs</v>
      </c>
      <c r="C79" s="16">
        <f>'Income Statement'!C20</f>
        <v>78.8</v>
      </c>
      <c r="D79" s="16">
        <f>'Income Statement'!D20</f>
        <v>88.9</v>
      </c>
      <c r="E79" s="16">
        <f>'Income Statement'!E20</f>
        <v>98.3</v>
      </c>
      <c r="F79" s="16">
        <f>'Income Statement'!F20</f>
        <v>97</v>
      </c>
      <c r="G79" s="16">
        <f>'Income Statement'!G20</f>
        <v>95.8</v>
      </c>
      <c r="I79" s="21"/>
      <c r="J79" s="22"/>
      <c r="K79" s="22"/>
      <c r="L79" s="23"/>
    </row>
    <row r="80" spans="2:12" ht="19.5" thickBot="1" x14ac:dyDescent="0.3">
      <c r="B80" s="17" t="s">
        <v>173</v>
      </c>
      <c r="C80" s="17">
        <f>ROUND(C78/C79, 2)</f>
        <v>35.020000000000003</v>
      </c>
      <c r="D80" s="17">
        <f t="shared" ref="D80:G80" si="16">ROUND(D78/D79, 2)</f>
        <v>44.26</v>
      </c>
      <c r="E80" s="17">
        <f t="shared" si="16"/>
        <v>62.23</v>
      </c>
      <c r="F80" s="17">
        <f t="shared" si="16"/>
        <v>54.82</v>
      </c>
      <c r="G80" s="17">
        <f t="shared" si="16"/>
        <v>73.5</v>
      </c>
      <c r="I80" s="24"/>
      <c r="J80" s="25"/>
      <c r="K80" s="25"/>
      <c r="L80" s="26"/>
    </row>
    <row r="81" spans="2:12" ht="15.75" thickTop="1" x14ac:dyDescent="0.25"/>
    <row r="82" spans="2:12" ht="19.5" thickBot="1" x14ac:dyDescent="0.3">
      <c r="B82" s="14" t="s">
        <v>174</v>
      </c>
      <c r="C82" s="14"/>
      <c r="D82" s="14"/>
      <c r="E82" s="14"/>
      <c r="F82" s="14"/>
      <c r="G82" s="14"/>
    </row>
    <row r="83" spans="2:12" ht="19.5" thickTop="1" x14ac:dyDescent="0.25">
      <c r="B83" s="15" t="str">
        <f>'Income Statement'!B11</f>
        <v>Cost Of Materials Consumed</v>
      </c>
      <c r="C83" s="16">
        <f>'Income Statement'!C11</f>
        <v>2630.9</v>
      </c>
      <c r="D83" s="16">
        <f>'Income Statement'!D11</f>
        <v>2889.4</v>
      </c>
      <c r="E83" s="16">
        <f>'Income Statement'!E11</f>
        <v>2984.8</v>
      </c>
      <c r="F83" s="16">
        <f>'Income Statement'!F11</f>
        <v>4295.8</v>
      </c>
      <c r="G83" s="16">
        <f>'Income Statement'!G11</f>
        <v>4312.3999999999996</v>
      </c>
      <c r="I83" s="18"/>
      <c r="J83" s="19"/>
      <c r="K83" s="19"/>
      <c r="L83" s="20"/>
    </row>
    <row r="84" spans="2:12" ht="18.75" x14ac:dyDescent="0.25">
      <c r="B84" s="15" t="str">
        <f>'Income Statement'!B7</f>
        <v>Net Sales</v>
      </c>
      <c r="C84" s="16">
        <f>'Income Statement'!C7</f>
        <v>14202.8</v>
      </c>
      <c r="D84" s="16">
        <f>'Income Statement'!D7</f>
        <v>15385.1</v>
      </c>
      <c r="E84" s="16">
        <f>'Income Statement'!E7</f>
        <v>17460</v>
      </c>
      <c r="F84" s="16">
        <f>'Income Statement'!F7</f>
        <v>18972.2</v>
      </c>
      <c r="G84" s="16">
        <f>'Income Statement'!G7</f>
        <v>21439.1</v>
      </c>
      <c r="I84" s="21"/>
      <c r="J84" s="22"/>
      <c r="K84" s="22"/>
      <c r="L84" s="23"/>
    </row>
    <row r="85" spans="2:12" ht="19.5" thickBot="1" x14ac:dyDescent="0.3">
      <c r="B85" s="17" t="s">
        <v>175</v>
      </c>
      <c r="C85" s="17">
        <f>ROUND(C83/C84, 2)</f>
        <v>0.19</v>
      </c>
      <c r="D85" s="17">
        <f t="shared" ref="D85:G85" si="17">ROUND(D83/D84, 2)</f>
        <v>0.19</v>
      </c>
      <c r="E85" s="17">
        <f t="shared" si="17"/>
        <v>0.17</v>
      </c>
      <c r="F85" s="17">
        <f t="shared" si="17"/>
        <v>0.23</v>
      </c>
      <c r="G85" s="17">
        <f t="shared" si="17"/>
        <v>0.2</v>
      </c>
      <c r="I85" s="24"/>
      <c r="J85" s="25"/>
      <c r="K85" s="25"/>
      <c r="L85" s="26"/>
    </row>
    <row r="86" spans="2:12" ht="15.75" thickTop="1" x14ac:dyDescent="0.25"/>
    <row r="87" spans="2:12" ht="19.5" thickBot="1" x14ac:dyDescent="0.3">
      <c r="B87" s="14" t="s">
        <v>176</v>
      </c>
      <c r="C87" s="14"/>
      <c r="D87" s="14"/>
      <c r="E87" s="14"/>
      <c r="F87" s="14"/>
      <c r="G87" s="14"/>
    </row>
    <row r="88" spans="2:12" ht="19.5" thickTop="1" x14ac:dyDescent="0.25">
      <c r="B88" s="15" t="str">
        <f>'Balance Sheet'!B38</f>
        <v>Cash And Cash Equivalents</v>
      </c>
      <c r="C88" s="16">
        <f>'Balance Sheet'!C38</f>
        <v>263.8</v>
      </c>
      <c r="D88" s="16">
        <f>'Balance Sheet'!D38</f>
        <v>5892.4000000000005</v>
      </c>
      <c r="E88" s="16">
        <f>'Balance Sheet'!E38</f>
        <v>9893.5999999999985</v>
      </c>
      <c r="F88" s="16">
        <f>'Balance Sheet'!F38</f>
        <v>13811.8</v>
      </c>
      <c r="G88" s="16">
        <f>'Balance Sheet'!G38</f>
        <v>19785.099999999999</v>
      </c>
      <c r="I88" s="18"/>
      <c r="J88" s="19"/>
      <c r="K88" s="19"/>
      <c r="L88" s="20"/>
    </row>
    <row r="89" spans="2:12" ht="18.75" x14ac:dyDescent="0.25">
      <c r="B89" s="15" t="str">
        <f>'Income Statement'!B11</f>
        <v>Cost Of Materials Consumed</v>
      </c>
      <c r="C89" s="16">
        <f>'Income Statement'!C11</f>
        <v>2630.9</v>
      </c>
      <c r="D89" s="16">
        <f>'Income Statement'!D11</f>
        <v>2889.4</v>
      </c>
      <c r="E89" s="16">
        <f>'Income Statement'!E11</f>
        <v>2984.8</v>
      </c>
      <c r="F89" s="16">
        <f>'Income Statement'!F11</f>
        <v>4295.8</v>
      </c>
      <c r="G89" s="16">
        <f>'Income Statement'!G11</f>
        <v>4312.3999999999996</v>
      </c>
      <c r="I89" s="21"/>
      <c r="J89" s="22"/>
      <c r="K89" s="22"/>
      <c r="L89" s="23"/>
    </row>
    <row r="90" spans="2:12" ht="19.5" thickBot="1" x14ac:dyDescent="0.3">
      <c r="B90" s="17" t="s">
        <v>177</v>
      </c>
      <c r="C90" s="17">
        <f>ROUND(C88/C89*365, 2)</f>
        <v>36.6</v>
      </c>
      <c r="D90" s="17">
        <f t="shared" ref="D90:G90" si="18">ROUND(D88/D89*365, 2)</f>
        <v>744.35</v>
      </c>
      <c r="E90" s="17">
        <f t="shared" si="18"/>
        <v>1209.8499999999999</v>
      </c>
      <c r="F90" s="17">
        <f t="shared" si="18"/>
        <v>1173.54</v>
      </c>
      <c r="G90" s="17">
        <f t="shared" si="18"/>
        <v>1674.6</v>
      </c>
      <c r="I90" s="24"/>
      <c r="J90" s="25"/>
      <c r="K90" s="25"/>
      <c r="L90" s="26"/>
    </row>
    <row r="91" spans="2:12" ht="15.75" thickTop="1" x14ac:dyDescent="0.25"/>
    <row r="92" spans="2:12" ht="19.5" thickBot="1" x14ac:dyDescent="0.3">
      <c r="B92" s="14" t="s">
        <v>178</v>
      </c>
      <c r="C92" s="14"/>
      <c r="D92" s="14"/>
      <c r="E92" s="14"/>
      <c r="F92" s="14"/>
      <c r="G92" s="14"/>
    </row>
    <row r="93" spans="2:12" ht="19.5" thickTop="1" x14ac:dyDescent="0.25">
      <c r="B93" s="15" t="str">
        <f>'Balance Sheet'!B38</f>
        <v>Cash And Cash Equivalents</v>
      </c>
      <c r="C93" s="16">
        <f>'Balance Sheet'!C38</f>
        <v>263.8</v>
      </c>
      <c r="D93" s="16">
        <f>'Balance Sheet'!D38</f>
        <v>5892.4000000000005</v>
      </c>
      <c r="E93" s="16">
        <f>'Balance Sheet'!E38</f>
        <v>9893.5999999999985</v>
      </c>
      <c r="F93" s="16">
        <f>'Balance Sheet'!F38</f>
        <v>13811.8</v>
      </c>
      <c r="G93" s="16">
        <f>'Balance Sheet'!G38</f>
        <v>19785.099999999999</v>
      </c>
      <c r="I93" s="18"/>
      <c r="J93" s="19"/>
      <c r="K93" s="19"/>
      <c r="L93" s="20"/>
    </row>
    <row r="94" spans="2:12" ht="18.75" x14ac:dyDescent="0.25">
      <c r="B94" s="15" t="s">
        <v>179</v>
      </c>
      <c r="C94" s="16">
        <v>365</v>
      </c>
      <c r="D94" s="16">
        <v>365</v>
      </c>
      <c r="E94" s="16">
        <v>365</v>
      </c>
      <c r="F94" s="16">
        <v>365</v>
      </c>
      <c r="G94" s="16">
        <v>365</v>
      </c>
      <c r="I94" s="21"/>
      <c r="J94" s="22"/>
      <c r="K94" s="22"/>
      <c r="L94" s="23"/>
    </row>
    <row r="95" spans="2:12" ht="19.5" thickBot="1" x14ac:dyDescent="0.3">
      <c r="B95" s="17" t="s">
        <v>180</v>
      </c>
      <c r="C95" s="17">
        <f>ROUND(C93/C94*365, 2)</f>
        <v>263.8</v>
      </c>
      <c r="D95" s="17">
        <f t="shared" ref="D95:G95" si="19">ROUND(D93/D94*365, 2)</f>
        <v>5892.4</v>
      </c>
      <c r="E95" s="17">
        <f t="shared" si="19"/>
        <v>9893.6</v>
      </c>
      <c r="F95" s="17">
        <f t="shared" si="19"/>
        <v>13811.8</v>
      </c>
      <c r="G95" s="17">
        <f t="shared" si="19"/>
        <v>19785.099999999999</v>
      </c>
      <c r="I95" s="24"/>
      <c r="J95" s="25"/>
      <c r="K95" s="25"/>
      <c r="L95" s="26"/>
    </row>
    <row r="96" spans="2:12" ht="15.75" thickTop="1" x14ac:dyDescent="0.25"/>
    <row r="97" spans="2:12" ht="19.5" thickBot="1" x14ac:dyDescent="0.3">
      <c r="B97" s="14" t="s">
        <v>181</v>
      </c>
      <c r="C97" s="14"/>
      <c r="D97" s="14"/>
      <c r="E97" s="14"/>
      <c r="F97" s="14"/>
      <c r="G97" s="14"/>
    </row>
    <row r="98" spans="2:12" ht="19.5" thickTop="1" x14ac:dyDescent="0.25">
      <c r="B98" s="15" t="str">
        <f>'Income Statement'!B5</f>
        <v>Gross Sales</v>
      </c>
      <c r="C98" s="16">
        <f>'Income Statement'!C5</f>
        <v>14202.8</v>
      </c>
      <c r="D98" s="16">
        <f>'Income Statement'!D5</f>
        <v>15385.1</v>
      </c>
      <c r="E98" s="16">
        <f>'Income Statement'!E5</f>
        <v>17460</v>
      </c>
      <c r="F98" s="16">
        <f>'Income Statement'!F5</f>
        <v>18972.2</v>
      </c>
      <c r="G98" s="16">
        <f>'Income Statement'!G5</f>
        <v>21439.1</v>
      </c>
      <c r="I98" s="18"/>
      <c r="J98" s="19"/>
      <c r="K98" s="19"/>
      <c r="L98" s="20"/>
    </row>
    <row r="99" spans="2:12" ht="18.75" x14ac:dyDescent="0.25">
      <c r="B99" s="15" t="str">
        <f>'Balance Sheet'!B40</f>
        <v>Total Assets</v>
      </c>
      <c r="C99" s="16">
        <f>'Balance Sheet'!C40</f>
        <v>22544.300000000003</v>
      </c>
      <c r="D99" s="16">
        <f>'Balance Sheet'!D40</f>
        <v>24073.5</v>
      </c>
      <c r="E99" s="16">
        <f>'Balance Sheet'!E40</f>
        <v>29025.699999999997</v>
      </c>
      <c r="F99" s="16">
        <f>'Balance Sheet'!F40</f>
        <v>34247.899999999994</v>
      </c>
      <c r="G99" s="16">
        <f>'Balance Sheet'!G40</f>
        <v>41873.599999999999</v>
      </c>
      <c r="I99" s="21"/>
      <c r="J99" s="22"/>
      <c r="K99" s="22"/>
      <c r="L99" s="23"/>
    </row>
    <row r="100" spans="2:12" ht="19.5" thickBot="1" x14ac:dyDescent="0.3">
      <c r="B100" s="17" t="s">
        <v>182</v>
      </c>
      <c r="C100" s="17">
        <f>ROUND(C98/C99, 2)</f>
        <v>0.63</v>
      </c>
      <c r="D100" s="17">
        <f t="shared" ref="D100:G100" si="20">ROUND(D98/D99, 2)</f>
        <v>0.64</v>
      </c>
      <c r="E100" s="17">
        <f t="shared" si="20"/>
        <v>0.6</v>
      </c>
      <c r="F100" s="17">
        <f t="shared" si="20"/>
        <v>0.55000000000000004</v>
      </c>
      <c r="G100" s="17">
        <f t="shared" si="20"/>
        <v>0.51</v>
      </c>
      <c r="I100" s="24"/>
      <c r="J100" s="25"/>
      <c r="K100" s="25"/>
      <c r="L100" s="26"/>
    </row>
    <row r="101" spans="2:12" ht="15.75" thickTop="1" x14ac:dyDescent="0.25"/>
    <row r="102" spans="2:12" ht="19.5" thickBot="1" x14ac:dyDescent="0.3">
      <c r="B102" s="14" t="s">
        <v>183</v>
      </c>
      <c r="C102" s="14"/>
      <c r="D102" s="14"/>
      <c r="E102" s="14"/>
      <c r="F102" s="14"/>
      <c r="G102" s="14"/>
    </row>
    <row r="103" spans="2:12" ht="19.5" thickTop="1" x14ac:dyDescent="0.25">
      <c r="B103" s="15" t="str">
        <f>'Income Statement'!B5</f>
        <v>Gross Sales</v>
      </c>
      <c r="C103" s="16">
        <f>'Income Statement'!C5</f>
        <v>14202.8</v>
      </c>
      <c r="D103" s="16">
        <f>'Income Statement'!D5</f>
        <v>15385.1</v>
      </c>
      <c r="E103" s="16">
        <f>'Income Statement'!E5</f>
        <v>17460</v>
      </c>
      <c r="F103" s="16">
        <f>'Income Statement'!F5</f>
        <v>18972.2</v>
      </c>
      <c r="G103" s="16">
        <f>'Income Statement'!G5</f>
        <v>21439.1</v>
      </c>
      <c r="I103" s="18"/>
      <c r="J103" s="19"/>
      <c r="K103" s="19"/>
      <c r="L103" s="20"/>
    </row>
    <row r="104" spans="2:12" ht="18.75" x14ac:dyDescent="0.25">
      <c r="B104" s="15" t="str">
        <f>'Balance Sheet'!B36</f>
        <v>Inventories</v>
      </c>
      <c r="C104" s="16">
        <f>'Balance Sheet'!C36</f>
        <v>2908.9</v>
      </c>
      <c r="D104" s="16">
        <f>'Balance Sheet'!D36</f>
        <v>3357.9</v>
      </c>
      <c r="E104" s="16">
        <f>'Balance Sheet'!E36</f>
        <v>3506.7</v>
      </c>
      <c r="F104" s="16">
        <f>'Balance Sheet'!F36</f>
        <v>4541.2</v>
      </c>
      <c r="G104" s="16">
        <f>'Balance Sheet'!G36</f>
        <v>5088.3999999999996</v>
      </c>
      <c r="I104" s="21"/>
      <c r="J104" s="22"/>
      <c r="K104" s="22"/>
      <c r="L104" s="23"/>
    </row>
    <row r="105" spans="2:12" ht="19.5" thickBot="1" x14ac:dyDescent="0.3">
      <c r="B105" s="17" t="s">
        <v>184</v>
      </c>
      <c r="C105" s="17">
        <f>ROUND(C103/C104, 2)</f>
        <v>4.88</v>
      </c>
      <c r="D105" s="17">
        <f t="shared" ref="D105:G105" si="21">ROUND(D103/D104, 2)</f>
        <v>4.58</v>
      </c>
      <c r="E105" s="17">
        <f t="shared" si="21"/>
        <v>4.9800000000000004</v>
      </c>
      <c r="F105" s="17">
        <f t="shared" si="21"/>
        <v>4.18</v>
      </c>
      <c r="G105" s="17">
        <f t="shared" si="21"/>
        <v>4.21</v>
      </c>
      <c r="I105" s="24"/>
      <c r="J105" s="25"/>
      <c r="K105" s="25"/>
      <c r="L105" s="26"/>
    </row>
    <row r="106" spans="2:12" ht="15.75" thickTop="1" x14ac:dyDescent="0.25"/>
    <row r="107" spans="2:12" ht="19.5" thickBot="1" x14ac:dyDescent="0.3">
      <c r="B107" s="14" t="s">
        <v>185</v>
      </c>
      <c r="C107" s="14"/>
      <c r="D107" s="14"/>
      <c r="E107" s="14"/>
      <c r="F107" s="14"/>
      <c r="G107" s="14"/>
    </row>
    <row r="108" spans="2:12" ht="19.5" thickTop="1" x14ac:dyDescent="0.25">
      <c r="B108" s="15" t="str">
        <f>'Income Statement'!B5</f>
        <v>Gross Sales</v>
      </c>
      <c r="C108" s="16">
        <f>'Income Statement'!C5</f>
        <v>14202.8</v>
      </c>
      <c r="D108" s="16">
        <f>'Income Statement'!D5</f>
        <v>15385.1</v>
      </c>
      <c r="E108" s="16">
        <f>'Income Statement'!E5</f>
        <v>17460</v>
      </c>
      <c r="F108" s="16">
        <f>'Income Statement'!F5</f>
        <v>18972.2</v>
      </c>
      <c r="G108" s="16">
        <f>'Income Statement'!G5</f>
        <v>21439.1</v>
      </c>
      <c r="I108" s="18"/>
      <c r="J108" s="19"/>
      <c r="K108" s="19"/>
      <c r="L108" s="20"/>
    </row>
    <row r="109" spans="2:12" ht="18.75" x14ac:dyDescent="0.25">
      <c r="B109" s="15" t="str">
        <f>'Balance Sheet'!B37</f>
        <v>Trade Receivables</v>
      </c>
      <c r="C109" s="16">
        <f>'Balance Sheet'!C37</f>
        <v>4052.7</v>
      </c>
      <c r="D109" s="16">
        <f>'Balance Sheet'!D37</f>
        <v>3986.9</v>
      </c>
      <c r="E109" s="16">
        <f>'Balance Sheet'!E37</f>
        <v>5027.8</v>
      </c>
      <c r="F109" s="16">
        <f>'Balance Sheet'!F37</f>
        <v>4964.1000000000004</v>
      </c>
      <c r="G109" s="16">
        <f>'Balance Sheet'!G37</f>
        <v>6676.4</v>
      </c>
      <c r="I109" s="21"/>
      <c r="J109" s="22"/>
      <c r="K109" s="22"/>
      <c r="L109" s="23"/>
    </row>
    <row r="110" spans="2:12" ht="19.5" thickBot="1" x14ac:dyDescent="0.3">
      <c r="B110" s="17" t="s">
        <v>186</v>
      </c>
      <c r="C110" s="17">
        <f>ROUND(C108/C109, 2)</f>
        <v>3.5</v>
      </c>
      <c r="D110" s="17">
        <f t="shared" ref="D110:G110" si="22">ROUND(D108/D109, 2)</f>
        <v>3.86</v>
      </c>
      <c r="E110" s="17">
        <f t="shared" si="22"/>
        <v>3.47</v>
      </c>
      <c r="F110" s="17">
        <f t="shared" si="22"/>
        <v>3.82</v>
      </c>
      <c r="G110" s="17">
        <f t="shared" si="22"/>
        <v>3.21</v>
      </c>
      <c r="I110" s="24"/>
      <c r="J110" s="25"/>
      <c r="K110" s="25"/>
      <c r="L110" s="26"/>
    </row>
    <row r="111" spans="2:12" ht="15.75" thickTop="1" x14ac:dyDescent="0.25"/>
    <row r="112" spans="2:12" ht="19.5" thickBot="1" x14ac:dyDescent="0.3">
      <c r="B112" s="14" t="s">
        <v>187</v>
      </c>
      <c r="C112" s="14"/>
      <c r="D112" s="14"/>
      <c r="E112" s="14"/>
      <c r="F112" s="14"/>
      <c r="G112" s="14"/>
    </row>
    <row r="113" spans="2:12" ht="19.5" thickTop="1" x14ac:dyDescent="0.25">
      <c r="B113" s="15" t="str">
        <f>'Income Statement'!B5</f>
        <v>Gross Sales</v>
      </c>
      <c r="C113" s="16">
        <f>'Income Statement'!C5</f>
        <v>14202.8</v>
      </c>
      <c r="D113" s="16">
        <f>'Income Statement'!D5</f>
        <v>15385.1</v>
      </c>
      <c r="E113" s="16">
        <f>'Income Statement'!E5</f>
        <v>17460</v>
      </c>
      <c r="F113" s="16">
        <f>'Income Statement'!F5</f>
        <v>18972.2</v>
      </c>
      <c r="G113" s="16">
        <f>'Income Statement'!G5</f>
        <v>21439.1</v>
      </c>
      <c r="I113" s="18"/>
      <c r="J113" s="19"/>
      <c r="K113" s="19"/>
      <c r="L113" s="20"/>
    </row>
    <row r="114" spans="2:12" ht="18.75" x14ac:dyDescent="0.25">
      <c r="B114" s="15" t="str">
        <f>'Balance Sheet'!B23</f>
        <v>Tangible Assets</v>
      </c>
      <c r="C114" s="16">
        <f>'Balance Sheet'!C23</f>
        <v>4973.3</v>
      </c>
      <c r="D114" s="16">
        <f>'Balance Sheet'!D23</f>
        <v>4912.7</v>
      </c>
      <c r="E114" s="16">
        <f>'Balance Sheet'!E23</f>
        <v>4777.8999999999996</v>
      </c>
      <c r="F114" s="16">
        <f>'Balance Sheet'!F23</f>
        <v>4732.2</v>
      </c>
      <c r="G114" s="16">
        <f>'Balance Sheet'!G23</f>
        <v>8867.6</v>
      </c>
      <c r="I114" s="21"/>
      <c r="J114" s="22"/>
      <c r="K114" s="22"/>
      <c r="L114" s="23"/>
    </row>
    <row r="115" spans="2:12" ht="19.5" thickBot="1" x14ac:dyDescent="0.3">
      <c r="B115" s="17" t="s">
        <v>188</v>
      </c>
      <c r="C115" s="17">
        <f>ROUND(C113/C114, 2)</f>
        <v>2.86</v>
      </c>
      <c r="D115" s="17">
        <f t="shared" ref="D115:G115" si="23">ROUND(D113/D114, 2)</f>
        <v>3.13</v>
      </c>
      <c r="E115" s="17">
        <f t="shared" si="23"/>
        <v>3.65</v>
      </c>
      <c r="F115" s="17">
        <f t="shared" si="23"/>
        <v>4.01</v>
      </c>
      <c r="G115" s="17">
        <f t="shared" si="23"/>
        <v>2.42</v>
      </c>
      <c r="I115" s="24"/>
      <c r="J115" s="25"/>
      <c r="K115" s="25"/>
      <c r="L115" s="26"/>
    </row>
    <row r="116" spans="2:12" ht="15.75" thickTop="1" x14ac:dyDescent="0.25"/>
    <row r="117" spans="2:12" ht="19.5" thickBot="1" x14ac:dyDescent="0.3">
      <c r="B117" s="14" t="s">
        <v>189</v>
      </c>
      <c r="C117" s="14"/>
      <c r="D117" s="14"/>
      <c r="E117" s="14"/>
      <c r="F117" s="14"/>
      <c r="G117" s="14"/>
    </row>
    <row r="118" spans="2:12" ht="19.5" thickTop="1" x14ac:dyDescent="0.25">
      <c r="B118" s="15" t="str">
        <f>'Income Statement'!B11</f>
        <v>Cost Of Materials Consumed</v>
      </c>
      <c r="C118" s="16">
        <f>'Income Statement'!C11</f>
        <v>2630.9</v>
      </c>
      <c r="D118" s="16">
        <f>'Income Statement'!D11</f>
        <v>2889.4</v>
      </c>
      <c r="E118" s="16">
        <f>'Income Statement'!E11</f>
        <v>2984.8</v>
      </c>
      <c r="F118" s="16">
        <f>'Income Statement'!F11</f>
        <v>4295.8</v>
      </c>
      <c r="G118" s="16">
        <f>'Income Statement'!G11</f>
        <v>4312.3999999999996</v>
      </c>
      <c r="I118" s="18"/>
      <c r="J118" s="19"/>
      <c r="K118" s="19"/>
      <c r="L118" s="20"/>
    </row>
    <row r="119" spans="2:12" ht="18.75" x14ac:dyDescent="0.25">
      <c r="B119" s="15" t="str">
        <f>'Balance Sheet'!B19</f>
        <v>Total Current Liabilities</v>
      </c>
      <c r="C119" s="16">
        <f>'Balance Sheet'!C19</f>
        <v>4712.6000000000004</v>
      </c>
      <c r="D119" s="16">
        <f>'Balance Sheet'!D19</f>
        <v>4982.2</v>
      </c>
      <c r="E119" s="16">
        <f>'Balance Sheet'!E19</f>
        <v>5840.9</v>
      </c>
      <c r="F119" s="16">
        <f>'Balance Sheet'!F19</f>
        <v>6001.8</v>
      </c>
      <c r="G119" s="16">
        <f>'Balance Sheet'!G19</f>
        <v>7250.3</v>
      </c>
      <c r="I119" s="21"/>
      <c r="J119" s="22"/>
      <c r="K119" s="22"/>
      <c r="L119" s="23"/>
    </row>
    <row r="120" spans="2:12" ht="19.5" thickBot="1" x14ac:dyDescent="0.3">
      <c r="B120" s="17" t="s">
        <v>190</v>
      </c>
      <c r="C120" s="17">
        <f>ROUND(C118/C119, 2)</f>
        <v>0.56000000000000005</v>
      </c>
      <c r="D120" s="17">
        <f t="shared" ref="D120:G120" si="24">ROUND(D118/D119, 2)</f>
        <v>0.57999999999999996</v>
      </c>
      <c r="E120" s="17">
        <f t="shared" si="24"/>
        <v>0.51</v>
      </c>
      <c r="F120" s="17">
        <f t="shared" si="24"/>
        <v>0.72</v>
      </c>
      <c r="G120" s="17">
        <f t="shared" si="24"/>
        <v>0.59</v>
      </c>
      <c r="I120" s="24"/>
      <c r="J120" s="25"/>
      <c r="K120" s="25"/>
      <c r="L120" s="26"/>
    </row>
    <row r="121" spans="2:12" ht="15.75" thickTop="1" x14ac:dyDescent="0.25"/>
    <row r="122" spans="2:12" ht="19.5" thickBot="1" x14ac:dyDescent="0.3">
      <c r="B122" s="14" t="s">
        <v>191</v>
      </c>
      <c r="C122" s="14"/>
      <c r="D122" s="14"/>
      <c r="E122" s="14"/>
      <c r="F122" s="14"/>
      <c r="G122" s="14"/>
    </row>
    <row r="123" spans="2:12" ht="19.5" thickTop="1" x14ac:dyDescent="0.25">
      <c r="B123" s="15" t="str">
        <f>'Income Statement'!B5</f>
        <v>Gross Sales</v>
      </c>
      <c r="C123" s="16">
        <f>'Income Statement'!C5</f>
        <v>14202.8</v>
      </c>
      <c r="D123" s="16">
        <f>'Income Statement'!D5</f>
        <v>15385.1</v>
      </c>
      <c r="E123" s="16">
        <f>'Income Statement'!E5</f>
        <v>17460</v>
      </c>
      <c r="F123" s="16">
        <f>'Income Statement'!F5</f>
        <v>18972.2</v>
      </c>
      <c r="G123" s="16">
        <f>'Income Statement'!G5</f>
        <v>21439.1</v>
      </c>
      <c r="I123" s="18"/>
      <c r="J123" s="19"/>
      <c r="K123" s="19"/>
      <c r="L123" s="20"/>
    </row>
    <row r="124" spans="2:12" ht="18.75" x14ac:dyDescent="0.25">
      <c r="B124" s="15" t="str">
        <f>'Balance Sheet'!B36</f>
        <v>Inventories</v>
      </c>
      <c r="C124" s="16">
        <f>'Balance Sheet'!C36</f>
        <v>2908.9</v>
      </c>
      <c r="D124" s="16">
        <f>'Balance Sheet'!D36</f>
        <v>3357.9</v>
      </c>
      <c r="E124" s="16">
        <f>'Balance Sheet'!E36</f>
        <v>3506.7</v>
      </c>
      <c r="F124" s="16">
        <f>'Balance Sheet'!F36</f>
        <v>4541.2</v>
      </c>
      <c r="G124" s="16">
        <f>'Balance Sheet'!G36</f>
        <v>5088.3999999999996</v>
      </c>
      <c r="I124" s="21"/>
      <c r="J124" s="22"/>
      <c r="K124" s="22"/>
      <c r="L124" s="23"/>
    </row>
    <row r="125" spans="2:12" ht="19.5" thickBot="1" x14ac:dyDescent="0.3">
      <c r="B125" s="17" t="s">
        <v>192</v>
      </c>
      <c r="C125" s="17">
        <f>ROUND(365/C123*C124, 2)</f>
        <v>74.760000000000005</v>
      </c>
      <c r="D125" s="17">
        <f t="shared" ref="D125:G125" si="25">ROUND(365/D123*D124, 2)</f>
        <v>79.66</v>
      </c>
      <c r="E125" s="17">
        <f t="shared" si="25"/>
        <v>73.31</v>
      </c>
      <c r="F125" s="17">
        <f t="shared" si="25"/>
        <v>87.37</v>
      </c>
      <c r="G125" s="17">
        <f t="shared" si="25"/>
        <v>86.63</v>
      </c>
      <c r="I125" s="24"/>
      <c r="J125" s="25"/>
      <c r="K125" s="25"/>
      <c r="L125" s="26"/>
    </row>
    <row r="126" spans="2:12" ht="15.75" thickTop="1" x14ac:dyDescent="0.25"/>
    <row r="127" spans="2:12" ht="19.5" thickBot="1" x14ac:dyDescent="0.3">
      <c r="B127" s="14" t="s">
        <v>193</v>
      </c>
      <c r="C127" s="14"/>
      <c r="D127" s="14"/>
      <c r="E127" s="14"/>
      <c r="F127" s="14"/>
      <c r="G127" s="14"/>
    </row>
    <row r="128" spans="2:12" ht="19.5" thickTop="1" x14ac:dyDescent="0.25">
      <c r="B128" s="15" t="str">
        <f>'Income Statement'!B11</f>
        <v>Cost Of Materials Consumed</v>
      </c>
      <c r="C128" s="16">
        <f>'Income Statement'!C11</f>
        <v>2630.9</v>
      </c>
      <c r="D128" s="16">
        <f>'Income Statement'!D11</f>
        <v>2889.4</v>
      </c>
      <c r="E128" s="16">
        <f>'Income Statement'!E11</f>
        <v>2984.8</v>
      </c>
      <c r="F128" s="16">
        <f>'Income Statement'!F11</f>
        <v>4295.8</v>
      </c>
      <c r="G128" s="16">
        <f>'Income Statement'!G11</f>
        <v>4312.3999999999996</v>
      </c>
      <c r="I128" s="18"/>
      <c r="J128" s="19"/>
      <c r="K128" s="19"/>
      <c r="L128" s="20"/>
    </row>
    <row r="129" spans="2:12" ht="18.75" x14ac:dyDescent="0.25">
      <c r="B129" s="15" t="str">
        <f>'Balance Sheet'!B19</f>
        <v>Total Current Liabilities</v>
      </c>
      <c r="C129" s="16">
        <f>'Balance Sheet'!C19</f>
        <v>4712.6000000000004</v>
      </c>
      <c r="D129" s="16">
        <f>'Balance Sheet'!D19</f>
        <v>4982.2</v>
      </c>
      <c r="E129" s="16">
        <f>'Balance Sheet'!E19</f>
        <v>5840.9</v>
      </c>
      <c r="F129" s="16">
        <f>'Balance Sheet'!F19</f>
        <v>6001.8</v>
      </c>
      <c r="G129" s="16">
        <f>'Balance Sheet'!G19</f>
        <v>7250.3</v>
      </c>
      <c r="I129" s="21"/>
      <c r="J129" s="22"/>
      <c r="K129" s="22"/>
      <c r="L129" s="23"/>
    </row>
    <row r="130" spans="2:12" ht="19.5" thickBot="1" x14ac:dyDescent="0.3">
      <c r="B130" s="17" t="s">
        <v>194</v>
      </c>
      <c r="C130" s="17">
        <f>ROUND(365/C128*C129, 2)</f>
        <v>653.80999999999995</v>
      </c>
      <c r="D130" s="17">
        <f t="shared" ref="D130:G130" si="26">ROUND(365/D128*D129, 2)</f>
        <v>629.37</v>
      </c>
      <c r="E130" s="17">
        <f t="shared" si="26"/>
        <v>714.26</v>
      </c>
      <c r="F130" s="17">
        <f t="shared" si="26"/>
        <v>509.95</v>
      </c>
      <c r="G130" s="17">
        <f t="shared" si="26"/>
        <v>613.66</v>
      </c>
      <c r="I130" s="24"/>
      <c r="J130" s="25"/>
      <c r="K130" s="25"/>
      <c r="L130" s="26"/>
    </row>
    <row r="131" spans="2:12" ht="15.75" thickTop="1" x14ac:dyDescent="0.25"/>
    <row r="132" spans="2:12" ht="19.5" thickBot="1" x14ac:dyDescent="0.3">
      <c r="B132" s="14" t="s">
        <v>195</v>
      </c>
      <c r="C132" s="14"/>
      <c r="D132" s="14"/>
      <c r="E132" s="14"/>
      <c r="F132" s="14"/>
      <c r="G132" s="14"/>
    </row>
    <row r="133" spans="2:12" ht="19.5" thickTop="1" x14ac:dyDescent="0.25">
      <c r="B133" s="15" t="str">
        <f>'Income Statement'!B5</f>
        <v>Gross Sales</v>
      </c>
      <c r="C133" s="16">
        <f>'Income Statement'!C5</f>
        <v>14202.8</v>
      </c>
      <c r="D133" s="16">
        <f>'Income Statement'!D5</f>
        <v>15385.1</v>
      </c>
      <c r="E133" s="16">
        <f>'Income Statement'!E5</f>
        <v>17460</v>
      </c>
      <c r="F133" s="16">
        <f>'Income Statement'!F5</f>
        <v>18972.2</v>
      </c>
      <c r="G133" s="16">
        <f>'Income Statement'!G5</f>
        <v>21439.1</v>
      </c>
      <c r="I133" s="18"/>
      <c r="J133" s="19"/>
      <c r="K133" s="19"/>
      <c r="L133" s="20"/>
    </row>
    <row r="134" spans="2:12" ht="18.75" x14ac:dyDescent="0.25">
      <c r="B134" s="15" t="str">
        <f>'Balance Sheet'!B37</f>
        <v>Trade Receivables</v>
      </c>
      <c r="C134" s="16">
        <f>'Balance Sheet'!C37</f>
        <v>4052.7</v>
      </c>
      <c r="D134" s="16">
        <f>'Balance Sheet'!D37</f>
        <v>3986.9</v>
      </c>
      <c r="E134" s="16">
        <f>'Balance Sheet'!E37</f>
        <v>5027.8</v>
      </c>
      <c r="F134" s="16">
        <f>'Balance Sheet'!F37</f>
        <v>4964.1000000000004</v>
      </c>
      <c r="G134" s="16">
        <f>'Balance Sheet'!G37</f>
        <v>6676.4</v>
      </c>
      <c r="I134" s="21"/>
      <c r="J134" s="22"/>
      <c r="K134" s="22"/>
      <c r="L134" s="23"/>
    </row>
    <row r="135" spans="2:12" ht="19.5" thickBot="1" x14ac:dyDescent="0.3">
      <c r="B135" s="17" t="s">
        <v>196</v>
      </c>
      <c r="C135" s="17">
        <f>ROUND(365/C133*C134, 2)</f>
        <v>104.15</v>
      </c>
      <c r="D135" s="17">
        <f t="shared" ref="D135:G135" si="27">ROUND(365/D133*D134, 2)</f>
        <v>94.59</v>
      </c>
      <c r="E135" s="17">
        <f t="shared" si="27"/>
        <v>105.11</v>
      </c>
      <c r="F135" s="17">
        <f t="shared" si="27"/>
        <v>95.5</v>
      </c>
      <c r="G135" s="17">
        <f t="shared" si="27"/>
        <v>113.67</v>
      </c>
      <c r="I135" s="24"/>
      <c r="J135" s="25"/>
      <c r="K135" s="25"/>
      <c r="L135" s="26"/>
    </row>
    <row r="136" spans="2:12" ht="15.75" thickTop="1" x14ac:dyDescent="0.25"/>
    <row r="137" spans="2:12" ht="18.75" x14ac:dyDescent="0.25">
      <c r="B137" s="14" t="s">
        <v>197</v>
      </c>
      <c r="C137" s="14"/>
      <c r="D137" s="14"/>
      <c r="E137" s="14"/>
      <c r="F137" s="14"/>
      <c r="G137" s="14"/>
    </row>
    <row r="138" spans="2:12" ht="18.75" x14ac:dyDescent="0.25">
      <c r="B138" s="15" t="str">
        <f>'Income Statement'!B5</f>
        <v>Gross Sales</v>
      </c>
      <c r="C138" s="16">
        <f>'Income Statement'!C5</f>
        <v>14202.8</v>
      </c>
      <c r="D138" s="16">
        <f>'Income Statement'!D5</f>
        <v>15385.1</v>
      </c>
      <c r="E138" s="16">
        <f>'Income Statement'!E5</f>
        <v>17460</v>
      </c>
      <c r="F138" s="16">
        <f>'Income Statement'!F5</f>
        <v>18972.2</v>
      </c>
      <c r="G138" s="16">
        <f>'Income Statement'!G5</f>
        <v>21439.1</v>
      </c>
    </row>
    <row r="139" spans="2:12" ht="18.75" x14ac:dyDescent="0.25">
      <c r="B139" s="15" t="str">
        <f>'Balance Sheet'!B36</f>
        <v>Inventories</v>
      </c>
      <c r="C139" s="16">
        <f>'Balance Sheet'!C36</f>
        <v>2908.9</v>
      </c>
      <c r="D139" s="16">
        <f>'Balance Sheet'!D36</f>
        <v>3357.9</v>
      </c>
      <c r="E139" s="16">
        <f>'Balance Sheet'!E36</f>
        <v>3506.7</v>
      </c>
      <c r="F139" s="16">
        <f>'Balance Sheet'!F36</f>
        <v>4541.2</v>
      </c>
      <c r="G139" s="16">
        <f>'Balance Sheet'!G36</f>
        <v>5088.3999999999996</v>
      </c>
    </row>
    <row r="140" spans="2:12" ht="18.75" x14ac:dyDescent="0.25">
      <c r="B140" s="15" t="s">
        <v>192</v>
      </c>
      <c r="C140" s="16">
        <f>ROUND(365/C138*C139, 2)</f>
        <v>74.760000000000005</v>
      </c>
      <c r="D140" s="16">
        <f t="shared" ref="D140:G140" si="28">ROUND(365/D138*D139, 2)</f>
        <v>79.66</v>
      </c>
      <c r="E140" s="16">
        <f t="shared" si="28"/>
        <v>73.31</v>
      </c>
      <c r="F140" s="16">
        <f t="shared" si="28"/>
        <v>87.37</v>
      </c>
      <c r="G140" s="16">
        <f t="shared" si="28"/>
        <v>86.63</v>
      </c>
    </row>
    <row r="141" spans="2:12" ht="19.5" thickBot="1" x14ac:dyDescent="0.3">
      <c r="B141" s="15" t="str">
        <f>'Income Statement'!B11</f>
        <v>Cost Of Materials Consumed</v>
      </c>
      <c r="C141" s="16">
        <f>'Income Statement'!C11</f>
        <v>2630.9</v>
      </c>
      <c r="D141" s="16">
        <f>'Income Statement'!D11</f>
        <v>2889.4</v>
      </c>
      <c r="E141" s="16">
        <f>'Income Statement'!E11</f>
        <v>2984.8</v>
      </c>
      <c r="F141" s="16">
        <f>'Income Statement'!F11</f>
        <v>4295.8</v>
      </c>
      <c r="G141" s="16">
        <f>'Income Statement'!G11</f>
        <v>4312.3999999999996</v>
      </c>
    </row>
    <row r="142" spans="2:12" ht="19.5" thickTop="1" x14ac:dyDescent="0.25">
      <c r="B142" s="15" t="str">
        <f>'Balance Sheet'!B19</f>
        <v>Total Current Liabilities</v>
      </c>
      <c r="C142" s="16">
        <f>'Balance Sheet'!C19</f>
        <v>4712.6000000000004</v>
      </c>
      <c r="D142" s="16">
        <f>'Balance Sheet'!D19</f>
        <v>4982.2</v>
      </c>
      <c r="E142" s="16">
        <f>'Balance Sheet'!E19</f>
        <v>5840.9</v>
      </c>
      <c r="F142" s="16">
        <f>'Balance Sheet'!F19</f>
        <v>6001.8</v>
      </c>
      <c r="G142" s="16">
        <f>'Balance Sheet'!G19</f>
        <v>7250.3</v>
      </c>
      <c r="I142" s="18"/>
      <c r="J142" s="19"/>
      <c r="K142" s="19"/>
      <c r="L142" s="20"/>
    </row>
    <row r="143" spans="2:12" ht="18.75" x14ac:dyDescent="0.25">
      <c r="B143" s="15" t="s">
        <v>194</v>
      </c>
      <c r="C143" s="16">
        <f>ROUND(365/C141*C142, 2)</f>
        <v>653.80999999999995</v>
      </c>
      <c r="D143" s="16">
        <f t="shared" ref="D143:G143" si="29">ROUND(365/D141*D142, 2)</f>
        <v>629.37</v>
      </c>
      <c r="E143" s="16">
        <f t="shared" si="29"/>
        <v>714.26</v>
      </c>
      <c r="F143" s="16">
        <f t="shared" si="29"/>
        <v>509.95</v>
      </c>
      <c r="G143" s="16">
        <f t="shared" si="29"/>
        <v>613.66</v>
      </c>
      <c r="I143" s="21"/>
      <c r="J143" s="22"/>
      <c r="K143" s="22"/>
      <c r="L143" s="23"/>
    </row>
    <row r="144" spans="2:12" ht="19.5" thickBot="1" x14ac:dyDescent="0.3">
      <c r="B144" s="17" t="s">
        <v>198</v>
      </c>
      <c r="C144" s="28">
        <f>ROUND(C143+C140, 2)</f>
        <v>728.57</v>
      </c>
      <c r="D144" s="28">
        <f t="shared" ref="D144:G144" si="30">ROUND(D143+D140, 2)</f>
        <v>709.03</v>
      </c>
      <c r="E144" s="28">
        <f t="shared" si="30"/>
        <v>787.57</v>
      </c>
      <c r="F144" s="28">
        <f t="shared" si="30"/>
        <v>597.32000000000005</v>
      </c>
      <c r="G144" s="28">
        <f t="shared" si="30"/>
        <v>700.29</v>
      </c>
      <c r="I144" s="24"/>
      <c r="J144" s="25"/>
      <c r="K144" s="25"/>
      <c r="L144" s="26"/>
    </row>
    <row r="145" spans="2:12" ht="15.75" thickTop="1" x14ac:dyDescent="0.25"/>
    <row r="146" spans="2:12" ht="18.75" x14ac:dyDescent="0.25">
      <c r="B146" s="14" t="s">
        <v>199</v>
      </c>
      <c r="C146" s="14"/>
      <c r="D146" s="14"/>
      <c r="E146" s="14"/>
      <c r="F146" s="14"/>
      <c r="G146" s="14"/>
    </row>
    <row r="147" spans="2:12" ht="18.75" x14ac:dyDescent="0.25">
      <c r="B147" s="15" t="str">
        <f>'Income Statement'!B5</f>
        <v>Gross Sales</v>
      </c>
      <c r="C147" s="16">
        <f>'Income Statement'!C5</f>
        <v>14202.8</v>
      </c>
      <c r="D147" s="16">
        <f>'Income Statement'!D5</f>
        <v>15385.1</v>
      </c>
      <c r="E147" s="16">
        <f>'Income Statement'!E5</f>
        <v>17460</v>
      </c>
      <c r="F147" s="16">
        <f>'Income Statement'!F5</f>
        <v>18972.2</v>
      </c>
      <c r="G147" s="16">
        <f>'Income Statement'!G5</f>
        <v>21439.1</v>
      </c>
    </row>
    <row r="148" spans="2:12" ht="18.75" x14ac:dyDescent="0.25">
      <c r="B148" s="15" t="str">
        <f>'Balance Sheet'!B36</f>
        <v>Inventories</v>
      </c>
      <c r="C148" s="16">
        <f>'Balance Sheet'!C36</f>
        <v>2908.9</v>
      </c>
      <c r="D148" s="16">
        <f>'Balance Sheet'!D36</f>
        <v>3357.9</v>
      </c>
      <c r="E148" s="16">
        <f>'Balance Sheet'!E36</f>
        <v>3506.7</v>
      </c>
      <c r="F148" s="16">
        <f>'Balance Sheet'!F36</f>
        <v>4541.2</v>
      </c>
      <c r="G148" s="16">
        <f>'Balance Sheet'!G36</f>
        <v>5088.3999999999996</v>
      </c>
    </row>
    <row r="149" spans="2:12" ht="18.75" x14ac:dyDescent="0.25">
      <c r="B149" s="15" t="s">
        <v>192</v>
      </c>
      <c r="C149" s="16">
        <f>ROUND(365/C147*C148, 2)</f>
        <v>74.760000000000005</v>
      </c>
      <c r="D149" s="16">
        <f t="shared" ref="D149:G149" si="31">ROUND(365/D147*D148, 2)</f>
        <v>79.66</v>
      </c>
      <c r="E149" s="16">
        <f t="shared" si="31"/>
        <v>73.31</v>
      </c>
      <c r="F149" s="16">
        <f t="shared" si="31"/>
        <v>87.37</v>
      </c>
      <c r="G149" s="16">
        <f t="shared" si="31"/>
        <v>86.63</v>
      </c>
    </row>
    <row r="150" spans="2:12" ht="18.75" x14ac:dyDescent="0.25">
      <c r="B150" s="15" t="str">
        <f>'Income Statement'!B11</f>
        <v>Cost Of Materials Consumed</v>
      </c>
      <c r="C150" s="16">
        <f>'Income Statement'!C11</f>
        <v>2630.9</v>
      </c>
      <c r="D150" s="16">
        <f>'Income Statement'!D11</f>
        <v>2889.4</v>
      </c>
      <c r="E150" s="16">
        <f>'Income Statement'!E11</f>
        <v>2984.8</v>
      </c>
      <c r="F150" s="16">
        <f>'Income Statement'!F11</f>
        <v>4295.8</v>
      </c>
      <c r="G150" s="16">
        <f>'Income Statement'!G11</f>
        <v>4312.3999999999996</v>
      </c>
    </row>
    <row r="151" spans="2:12" ht="18.75" x14ac:dyDescent="0.25">
      <c r="B151" s="15" t="str">
        <f>'Balance Sheet'!B19</f>
        <v>Total Current Liabilities</v>
      </c>
      <c r="C151" s="16">
        <f>'Balance Sheet'!C19</f>
        <v>4712.6000000000004</v>
      </c>
      <c r="D151" s="16">
        <f>'Balance Sheet'!D19</f>
        <v>4982.2</v>
      </c>
      <c r="E151" s="16">
        <f>'Balance Sheet'!E19</f>
        <v>5840.9</v>
      </c>
      <c r="F151" s="16">
        <f>'Balance Sheet'!F19</f>
        <v>6001.8</v>
      </c>
      <c r="G151" s="16">
        <f>'Balance Sheet'!G19</f>
        <v>7250.3</v>
      </c>
    </row>
    <row r="152" spans="2:12" ht="18.75" x14ac:dyDescent="0.25">
      <c r="B152" s="15" t="s">
        <v>194</v>
      </c>
      <c r="C152" s="16">
        <f>ROUND(365/C150*C151, 2)</f>
        <v>653.80999999999995</v>
      </c>
      <c r="D152" s="16">
        <f t="shared" ref="D152:G152" si="32">ROUND(365/D150*D151, 2)</f>
        <v>629.37</v>
      </c>
      <c r="E152" s="16">
        <f t="shared" si="32"/>
        <v>714.26</v>
      </c>
      <c r="F152" s="16">
        <f t="shared" si="32"/>
        <v>509.95</v>
      </c>
      <c r="G152" s="16">
        <f t="shared" si="32"/>
        <v>613.66</v>
      </c>
    </row>
    <row r="153" spans="2:12" ht="18.75" x14ac:dyDescent="0.25">
      <c r="B153" s="15" t="s">
        <v>200</v>
      </c>
      <c r="C153" s="16">
        <f>ROUND(C152+C149, 2)</f>
        <v>728.57</v>
      </c>
      <c r="D153" s="16">
        <f t="shared" ref="D153:G153" si="33">ROUND(D152+D149, 2)</f>
        <v>709.03</v>
      </c>
      <c r="E153" s="16">
        <f t="shared" si="33"/>
        <v>787.57</v>
      </c>
      <c r="F153" s="16">
        <f t="shared" si="33"/>
        <v>597.32000000000005</v>
      </c>
      <c r="G153" s="16">
        <f t="shared" si="33"/>
        <v>700.29</v>
      </c>
    </row>
    <row r="154" spans="2:12" ht="19.5" thickBot="1" x14ac:dyDescent="0.3">
      <c r="B154" s="15" t="str">
        <f>'Income Statement'!B11</f>
        <v>Cost Of Materials Consumed</v>
      </c>
      <c r="C154" s="16">
        <f>'Income Statement'!C11</f>
        <v>2630.9</v>
      </c>
      <c r="D154" s="16">
        <f>'Income Statement'!D11</f>
        <v>2889.4</v>
      </c>
      <c r="E154" s="16">
        <f>'Income Statement'!E11</f>
        <v>2984.8</v>
      </c>
      <c r="F154" s="16">
        <f>'Income Statement'!F11</f>
        <v>4295.8</v>
      </c>
      <c r="G154" s="16">
        <f>'Income Statement'!G11</f>
        <v>4312.3999999999996</v>
      </c>
    </row>
    <row r="155" spans="2:12" ht="19.5" thickTop="1" x14ac:dyDescent="0.25">
      <c r="B155" s="15" t="str">
        <f>'Balance Sheet'!B19</f>
        <v>Total Current Liabilities</v>
      </c>
      <c r="C155" s="16">
        <f>'Balance Sheet'!C19</f>
        <v>4712.6000000000004</v>
      </c>
      <c r="D155" s="16">
        <f>'Balance Sheet'!D19</f>
        <v>4982.2</v>
      </c>
      <c r="E155" s="16">
        <f>'Balance Sheet'!E19</f>
        <v>5840.9</v>
      </c>
      <c r="F155" s="16">
        <f>'Balance Sheet'!F19</f>
        <v>6001.8</v>
      </c>
      <c r="G155" s="16">
        <f>'Balance Sheet'!G19</f>
        <v>7250.3</v>
      </c>
      <c r="I155" s="18"/>
      <c r="J155" s="19"/>
      <c r="K155" s="19"/>
      <c r="L155" s="20"/>
    </row>
    <row r="156" spans="2:12" ht="18.75" x14ac:dyDescent="0.25">
      <c r="B156" s="15" t="s">
        <v>194</v>
      </c>
      <c r="C156" s="16">
        <f>ROUND(365/C154*C155, 2)</f>
        <v>653.80999999999995</v>
      </c>
      <c r="D156" s="16">
        <f t="shared" ref="D156:G156" si="34">ROUND(365/D154*D155, 2)</f>
        <v>629.37</v>
      </c>
      <c r="E156" s="16">
        <f t="shared" si="34"/>
        <v>714.26</v>
      </c>
      <c r="F156" s="16">
        <f t="shared" si="34"/>
        <v>509.95</v>
      </c>
      <c r="G156" s="16">
        <f t="shared" si="34"/>
        <v>613.66</v>
      </c>
      <c r="I156" s="21"/>
      <c r="J156" s="22"/>
      <c r="K156" s="22"/>
      <c r="L156" s="23"/>
    </row>
    <row r="157" spans="2:12" ht="19.5" thickBot="1" x14ac:dyDescent="0.3">
      <c r="B157" s="17" t="s">
        <v>201</v>
      </c>
      <c r="C157" s="28">
        <f>ROUND(C156-C153, 2)</f>
        <v>-74.760000000000005</v>
      </c>
      <c r="D157" s="28">
        <f t="shared" ref="D157:G157" si="35">ROUND(D156-D153, 2)</f>
        <v>-79.66</v>
      </c>
      <c r="E157" s="28">
        <f t="shared" si="35"/>
        <v>-73.31</v>
      </c>
      <c r="F157" s="28">
        <f t="shared" si="35"/>
        <v>-87.37</v>
      </c>
      <c r="G157" s="28">
        <f t="shared" si="35"/>
        <v>-86.63</v>
      </c>
      <c r="I157" s="24"/>
      <c r="J157" s="25"/>
      <c r="K157" s="25"/>
      <c r="L157" s="26"/>
    </row>
    <row r="158" spans="2:12" ht="15.75" thickTop="1" x14ac:dyDescent="0.25"/>
  </sheetData>
  <mergeCells count="54">
    <mergeCell ref="B132:G132"/>
    <mergeCell ref="I133:L135"/>
    <mergeCell ref="B137:G137"/>
    <mergeCell ref="I142:L144"/>
    <mergeCell ref="B146:G146"/>
    <mergeCell ref="I155:L157"/>
    <mergeCell ref="B117:G117"/>
    <mergeCell ref="I118:L120"/>
    <mergeCell ref="B122:G122"/>
    <mergeCell ref="I123:L125"/>
    <mergeCell ref="B127:G127"/>
    <mergeCell ref="I128:L130"/>
    <mergeCell ref="B102:G102"/>
    <mergeCell ref="I103:L105"/>
    <mergeCell ref="B107:G107"/>
    <mergeCell ref="I108:L110"/>
    <mergeCell ref="B112:G112"/>
    <mergeCell ref="I113:L115"/>
    <mergeCell ref="B87:G87"/>
    <mergeCell ref="I88:L90"/>
    <mergeCell ref="B92:G92"/>
    <mergeCell ref="I93:L95"/>
    <mergeCell ref="B97:G97"/>
    <mergeCell ref="I98:L100"/>
    <mergeCell ref="B71:G71"/>
    <mergeCell ref="I73:L75"/>
    <mergeCell ref="B77:G77"/>
    <mergeCell ref="I78:L80"/>
    <mergeCell ref="B82:G82"/>
    <mergeCell ref="I83:L85"/>
    <mergeCell ref="B56:G56"/>
    <mergeCell ref="I57:L59"/>
    <mergeCell ref="B61:G61"/>
    <mergeCell ref="I62:L64"/>
    <mergeCell ref="B66:G66"/>
    <mergeCell ref="I67:L69"/>
    <mergeCell ref="B40:G40"/>
    <mergeCell ref="I41:L43"/>
    <mergeCell ref="B45:G45"/>
    <mergeCell ref="I46:L48"/>
    <mergeCell ref="B50:G50"/>
    <mergeCell ref="I52:L54"/>
    <mergeCell ref="B20:G20"/>
    <mergeCell ref="I25:L27"/>
    <mergeCell ref="B29:G29"/>
    <mergeCell ref="I31:L33"/>
    <mergeCell ref="B35:G35"/>
    <mergeCell ref="I36:L38"/>
    <mergeCell ref="B5:G5"/>
    <mergeCell ref="I6:L8"/>
    <mergeCell ref="B10:G10"/>
    <mergeCell ref="I11:L13"/>
    <mergeCell ref="B15:G15"/>
    <mergeCell ref="I16:L1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C0512D71-5633-4BD3-AC84-EFF3B1A371C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  <x14:sparklineGroup type="column" displayEmptyCellsAs="gap" high="1" xr2:uid="{1EAD9EB2-FDB9-4538-9089-94588BA4D6E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796B369F-B648-4E3A-99BB-B2A8B188434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8B298F71-006C-49E6-AA23-28CCBF0FE2B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2D62C1B3-417B-40A0-AD3F-B4AE000EAE6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A5108F5B-56AA-47BD-88C2-021216CA764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486A061C-5523-41CF-9492-1DC067A9B49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D6BC9105-8333-421B-9BD1-9A808D7E96E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46CC14C4-B10A-4635-BD3A-605A45FAB19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B93A02AF-22BE-476C-B2A1-153B9E8AEB5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152D1415-F4BB-42C1-B6D5-DA881382B06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CB4BCC42-09F0-4DB9-8A5C-1D69F6C884A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03F17D73-0D92-411A-A2C4-4ACBDB9E086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5FD22425-BE5B-4475-A04E-A1821ECB355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AD6C1630-5532-41EA-B6AC-222182FDB63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517FC1C7-1947-43FB-8312-DBF5662EB06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13F9A0F7-AD82-472C-B0E2-123DDDEEEB2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0E17F5C9-6278-46AA-BD85-D689EA08AFF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E052F8A4-9485-486E-B60D-7D8A04954A2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5DBA7690-54DA-404C-A345-9366A3AFEE7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93145B01-96C7-48C0-AF23-4815D472E61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E0BA59EA-8274-4F40-81CA-E76327CF5BE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BBFC00E4-C93A-4226-9F19-868A54CB782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60B7D9A7-1805-4BBF-9B00-9E50E3524B1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11087427-6391-46BA-AE12-9256D1E8FEC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9540271D-D08B-489D-8FA0-BC15A8ECAC9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1584FEC3-BB71-497E-A815-230C53771BB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EBFAC-0A9B-4048-91B2-407D2815E185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145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2242.7999999999993</v>
      </c>
      <c r="D6" s="16">
        <f>'Income Statement'!D27</f>
        <v>3460.1</v>
      </c>
      <c r="E6" s="16">
        <f>'Income Statement'!E27</f>
        <v>6159.1999999999989</v>
      </c>
      <c r="F6" s="16">
        <f>'Income Statement'!F27</f>
        <v>4288.2000000000016</v>
      </c>
      <c r="G6" s="16">
        <f>'Income Statement'!G27</f>
        <v>6066.2999999999993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39.347368421052622</v>
      </c>
      <c r="D7" s="16">
        <f>'Income Statement'!D35</f>
        <v>29.322881355932203</v>
      </c>
      <c r="E7" s="16">
        <f>'Income Statement'!E35</f>
        <v>50.485245901639338</v>
      </c>
      <c r="F7" s="16">
        <f>'Income Statement'!F35</f>
        <v>36.340677966101708</v>
      </c>
      <c r="G7" s="16">
        <f>'Income Statement'!G35</f>
        <v>45.956818181818178</v>
      </c>
    </row>
    <row r="8" spans="2:7" ht="18.75" x14ac:dyDescent="0.25">
      <c r="B8" s="17" t="s">
        <v>146</v>
      </c>
      <c r="C8" s="17">
        <f>ROUND(C6/C7, 2)</f>
        <v>57</v>
      </c>
      <c r="D8" s="17">
        <f t="shared" ref="D8:G8" si="0">ROUND(D6/D7, 2)</f>
        <v>118</v>
      </c>
      <c r="E8" s="17">
        <f t="shared" si="0"/>
        <v>122</v>
      </c>
      <c r="F8" s="17">
        <f t="shared" si="0"/>
        <v>118</v>
      </c>
      <c r="G8" s="17">
        <f t="shared" si="0"/>
        <v>132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937C4-F98A-476C-9134-277060EE0812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6" width="10" bestFit="1" customWidth="1"/>
    <col min="7" max="7" width="8.42578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147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399.2</v>
      </c>
      <c r="D6" s="16">
        <f>'Income Statement'!D28</f>
        <v>332</v>
      </c>
      <c r="E6" s="16">
        <f>'Income Statement'!E28</f>
        <v>391.6</v>
      </c>
      <c r="F6" s="16">
        <f>'Income Statement'!F28</f>
        <v>414.7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39.347368421052622</v>
      </c>
      <c r="D7" s="16">
        <f>'Income Statement'!D35</f>
        <v>29.322881355932203</v>
      </c>
      <c r="E7" s="16">
        <f>'Income Statement'!E35</f>
        <v>50.485245901639338</v>
      </c>
      <c r="F7" s="16">
        <f>'Income Statement'!F35</f>
        <v>36.340677966101708</v>
      </c>
      <c r="G7" s="16">
        <f>'Income Statement'!G35</f>
        <v>45.956818181818178</v>
      </c>
    </row>
    <row r="8" spans="2:7" ht="18.75" x14ac:dyDescent="0.25">
      <c r="B8" s="17" t="s">
        <v>148</v>
      </c>
      <c r="C8" s="17">
        <f>ROUND(C6/C7, 2)</f>
        <v>10.15</v>
      </c>
      <c r="D8" s="17">
        <f t="shared" ref="D8:G8" si="0">ROUND(D6/D7, 2)</f>
        <v>11.32</v>
      </c>
      <c r="E8" s="17">
        <f t="shared" si="0"/>
        <v>7.76</v>
      </c>
      <c r="F8" s="17">
        <f t="shared" si="0"/>
        <v>11.41</v>
      </c>
      <c r="G8" s="17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BA8A75-9BD9-40DB-841F-A7F304399C18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149</v>
      </c>
      <c r="C5" s="14"/>
      <c r="D5" s="14"/>
      <c r="E5" s="14"/>
      <c r="F5" s="14"/>
      <c r="G5" s="14"/>
    </row>
    <row r="6" spans="2:7" ht="18.75" x14ac:dyDescent="0.25">
      <c r="B6" s="15" t="str">
        <f>'Balance Sheet'!B9</f>
        <v>Net Worth</v>
      </c>
      <c r="C6" s="16">
        <f>'Balance Sheet'!C9</f>
        <v>12571.6</v>
      </c>
      <c r="D6" s="16">
        <f>'Balance Sheet'!D9</f>
        <v>15631.5</v>
      </c>
      <c r="E6" s="16">
        <f>'Balance Sheet'!E9</f>
        <v>21399.199999999997</v>
      </c>
      <c r="F6" s="16">
        <f>'Balance Sheet'!F9</f>
        <v>25272.799999999999</v>
      </c>
      <c r="G6" s="16">
        <f>'Balance Sheet'!G9</f>
        <v>31339.1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39.347368421052622</v>
      </c>
      <c r="D7" s="16">
        <f>'Income Statement'!D35</f>
        <v>29.322881355932203</v>
      </c>
      <c r="E7" s="16">
        <f>'Income Statement'!E35</f>
        <v>50.485245901639338</v>
      </c>
      <c r="F7" s="16">
        <f>'Income Statement'!F35</f>
        <v>36.340677966101708</v>
      </c>
      <c r="G7" s="16">
        <f>'Income Statement'!G35</f>
        <v>45.956818181818178</v>
      </c>
    </row>
    <row r="8" spans="2:7" ht="18.75" x14ac:dyDescent="0.25">
      <c r="B8" s="17" t="s">
        <v>150</v>
      </c>
      <c r="C8" s="17">
        <f>ROUND(C6/C7, 2)</f>
        <v>319.5</v>
      </c>
      <c r="D8" s="17">
        <f t="shared" ref="D8:G8" si="0">ROUND(D6/D7, 2)</f>
        <v>533.08000000000004</v>
      </c>
      <c r="E8" s="17">
        <f t="shared" si="0"/>
        <v>423.87</v>
      </c>
      <c r="F8" s="17">
        <f t="shared" si="0"/>
        <v>695.44</v>
      </c>
      <c r="G8" s="17">
        <f t="shared" si="0"/>
        <v>681.92</v>
      </c>
    </row>
  </sheetData>
  <mergeCells count="1">
    <mergeCell ref="B5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45</vt:i4>
      </vt:variant>
      <vt:variant>
        <vt:lpstr>Named Ranges</vt:lpstr>
      </vt:variant>
      <vt:variant>
        <vt:i4>84</vt:i4>
      </vt:variant>
    </vt:vector>
  </HeadingPairs>
  <TitlesOfParts>
    <vt:vector size="129" baseType="lpstr">
      <vt:lpstr>BSInput</vt:lpstr>
      <vt:lpstr>ISMInput</vt:lpstr>
      <vt:lpstr>Income Statement</vt:lpstr>
      <vt:lpstr>Balance Sheet</vt:lpstr>
      <vt:lpstr>CashFlow Statement</vt:lpstr>
      <vt:lpstr>Ratios</vt:lpstr>
      <vt:lpstr>Earning  Per Share</vt:lpstr>
      <vt:lpstr>Equity Dividend Per Share</vt:lpstr>
      <vt:lpstr>Book Value  Per Share</vt:lpstr>
      <vt:lpstr>Dividend Pay Out Ratio</vt:lpstr>
      <vt:lpstr>Dividend Retention Ratio</vt:lpstr>
      <vt:lpstr>Gross Profit</vt:lpstr>
      <vt:lpstr>Net Profit</vt:lpstr>
      <vt:lpstr>Return On Assets</vt:lpstr>
      <vt:lpstr>Return On Capital Employeed</vt:lpstr>
      <vt:lpstr>Return On Equity</vt:lpstr>
      <vt:lpstr>Debt Equity Ratio</vt:lpstr>
      <vt:lpstr>Current Ratio</vt:lpstr>
      <vt:lpstr>Quick Ratio</vt:lpstr>
      <vt:lpstr>Interest Coverage Ratio</vt:lpstr>
      <vt:lpstr>Material Consumed</vt:lpstr>
      <vt:lpstr>Defensive Interval Ratio</vt:lpstr>
      <vt:lpstr>Purchases Per Day</vt:lpstr>
      <vt:lpstr>Asset TurnOver Ratio</vt:lpstr>
      <vt:lpstr>Inventory TurnOver Ratio</vt:lpstr>
      <vt:lpstr>Debtors TurnOver Ratio</vt:lpstr>
      <vt:lpstr>Fixed Assets TurnOver Ratio</vt:lpstr>
      <vt:lpstr>Payable TurnOver Ratio</vt:lpstr>
      <vt:lpstr>Inventory Days</vt:lpstr>
      <vt:lpstr>Payable Days</vt:lpstr>
      <vt:lpstr>Receivable Days</vt:lpstr>
      <vt:lpstr>Operating Cycle</vt:lpstr>
      <vt:lpstr>Cash Conversion Cycle Days</vt:lpstr>
      <vt:lpstr>NetWorthVsTotalLiabilties</vt:lpstr>
      <vt:lpstr>PBDITvsPBIT</vt:lpstr>
      <vt:lpstr>CAvsCL</vt:lpstr>
      <vt:lpstr>Long And Short Term Provisions</vt:lpstr>
      <vt:lpstr>MaterialConsumed_DirectExpenses</vt:lpstr>
      <vt:lpstr>Gross Sales In Total 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 Profit CF To Balance Sheet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2022-07-03T11:17:45Z</dcterms:created>
  <dcterms:modified xsi:type="dcterms:W3CDTF">2022-07-04T07:11:57Z</dcterms:modified>
</cp:coreProperties>
</file>