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3E51EF0B-C923-4023-B435-6770E9E7414E}" xr6:coauthVersionLast="47" xr6:coauthVersionMax="47" xr10:uidLastSave="{00000000-0000-0000-0000-000000000000}"/>
  <bookViews>
    <workbookView xWindow="-120" yWindow="-120" windowWidth="20730" windowHeight="11160" firstSheet="42" activeTab="44" xr2:uid="{1CA5E67A-7237-42AA-A063-CFB91A067856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/>
  <c r="G8" i="4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30" i="4"/>
  <c r="D26" i="4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F9" i="4"/>
  <c r="F21" i="4" s="1"/>
  <c r="G9" i="4"/>
  <c r="G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38" i="4" l="1"/>
  <c r="E39" i="4"/>
  <c r="E40" i="4" s="1"/>
  <c r="G38" i="4" l="1"/>
  <c r="G39" i="4" s="1"/>
  <c r="G40" i="4" s="1"/>
  <c r="F39" i="4"/>
  <c r="F40" i="4" s="1"/>
</calcChain>
</file>

<file path=xl/sharedStrings.xml><?xml version="1.0" encoding="utf-8"?>
<sst xmlns="http://schemas.openxmlformats.org/spreadsheetml/2006/main" count="490" uniqueCount="203">
  <si>
    <t>Balance Sheet of Reliance Industries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</si>
  <si>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</si>
  <si>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</si>
  <si>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</si>
  <si>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</si>
  <si>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</si>
  <si>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</si>
  <si>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</si>
  <si>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</si>
  <si>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</si>
  <si>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</si>
  <si>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</si>
  <si>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</si>
  <si>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</si>
  <si>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</si>
  <si>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</si>
  <si>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</si>
  <si>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</si>
  <si>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</si>
  <si>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</si>
  <si>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</si>
  <si>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</si>
  <si>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</si>
  <si>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</si>
  <si>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</si>
  <si>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</si>
  <si>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</si>
  <si>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</si>
  <si>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</si>
  <si>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</si>
  <si>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</si>
  <si>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</si>
  <si>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</si>
  <si>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</si>
  <si>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</si>
  <si>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</si>
  <si>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</si>
  <si>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</si>
  <si>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</si>
  <si>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</si>
  <si>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</si>
  <si>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</si>
  <si>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</si>
  <si>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</si>
  <si>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</si>
  <si>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</si>
  <si>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</si>
  <si>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</si>
  <si>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</si>
  <si>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</si>
  <si>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</si>
  <si>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</si>
  <si>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</si>
  <si>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</si>
  <si>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</si>
  <si>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Reliance Industries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</si>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</sst>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B79-4E16-AFD1-0B3BD9500B2B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B79-4E16-AFD1-0B3BD9500B2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B79-4E16-AFD1-0B3BD9500B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61</c:v>
                </c:pt>
                <c:pt idx="1">
                  <c:v>67</c:v>
                </c:pt>
                <c:pt idx="2">
                  <c:v>63</c:v>
                </c:pt>
                <c:pt idx="3">
                  <c:v>76</c:v>
                </c:pt>
                <c:pt idx="4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79-4E16-AFD1-0B3BD9500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2648"/>
        <c:axId val="446764128"/>
      </c:lineChart>
      <c:catAx>
        <c:axId val="446752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4128"/>
        <c:crosses val="autoZero"/>
        <c:auto val="0"/>
        <c:lblAlgn val="ctr"/>
        <c:lblOffset val="100"/>
        <c:noMultiLvlLbl val="0"/>
      </c:catAx>
      <c:valAx>
        <c:axId val="446764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2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F12-4A04-982E-12D9669FD3F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F12-4A04-982E-12D9669FD3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0.16</c:v>
                </c:pt>
                <c:pt idx="1">
                  <c:v>0.18</c:v>
                </c:pt>
                <c:pt idx="2">
                  <c:v>0.15</c:v>
                </c:pt>
                <c:pt idx="3">
                  <c:v>0.09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12-4A04-982E-12D9669FD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364049648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648"/>
        <c:crosses val="autoZero"/>
        <c:auto val="0"/>
        <c:lblAlgn val="ctr"/>
        <c:lblOffset val="100"/>
        <c:noMultiLvlLbl val="0"/>
      </c:catAx>
      <c:valAx>
        <c:axId val="364049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2C-40AF-96FA-72249B8F83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0.72</c:v>
                </c:pt>
                <c:pt idx="1">
                  <c:v>0.72</c:v>
                </c:pt>
                <c:pt idx="2">
                  <c:v>0.55000000000000004</c:v>
                </c:pt>
                <c:pt idx="3">
                  <c:v>0.34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2C-40AF-96FA-72249B8F83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336"/>
        <c:axId val="364045712"/>
      </c:lineChart>
      <c:catAx>
        <c:axId val="36404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712"/>
        <c:crosses val="autoZero"/>
        <c:auto val="0"/>
        <c:lblAlgn val="ctr"/>
        <c:lblOffset val="100"/>
        <c:noMultiLvlLbl val="0"/>
      </c:catAx>
      <c:valAx>
        <c:axId val="364045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83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D0C-44CC-9B4F-AF166A2FCAE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D0C-44CC-9B4F-AF166A2FCAE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D0C-44CC-9B4F-AF166A2FCAE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D0C-44CC-9B4F-AF166A2FCA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0.46</c:v>
                </c:pt>
                <c:pt idx="1">
                  <c:v>1.0900000000000001</c:v>
                </c:pt>
                <c:pt idx="2">
                  <c:v>1.47</c:v>
                </c:pt>
                <c:pt idx="3">
                  <c:v>1.88</c:v>
                </c:pt>
                <c:pt idx="4">
                  <c:v>1.99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0C-44CC-9B4F-AF166A2FC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874008"/>
        <c:axId val="621874336"/>
      </c:lineChart>
      <c:catAx>
        <c:axId val="621874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874336"/>
        <c:crosses val="autoZero"/>
        <c:auto val="0"/>
        <c:lblAlgn val="ctr"/>
        <c:lblOffset val="100"/>
        <c:noMultiLvlLbl val="0"/>
      </c:catAx>
      <c:valAx>
        <c:axId val="621874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1874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9F3-4F2D-BD11-18FA06B3C1D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9F3-4F2D-BD11-18FA06B3C1D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9F3-4F2D-BD11-18FA06B3C1D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29F3-4F2D-BD11-18FA06B3C1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0.27</c:v>
                </c:pt>
                <c:pt idx="1">
                  <c:v>0.86</c:v>
                </c:pt>
                <c:pt idx="2">
                  <c:v>1.26</c:v>
                </c:pt>
                <c:pt idx="3">
                  <c:v>1.57</c:v>
                </c:pt>
                <c:pt idx="4">
                  <c:v>1.63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9F3-4F2D-BD11-18FA06B3C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296"/>
        <c:axId val="553596576"/>
      </c:lineChart>
      <c:catAx>
        <c:axId val="55359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0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10-49C1-9ACA-6982334E43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14.58</c:v>
                </c:pt>
                <c:pt idx="1">
                  <c:v>11.57</c:v>
                </c:pt>
                <c:pt idx="2">
                  <c:v>10.09</c:v>
                </c:pt>
                <c:pt idx="3">
                  <c:v>7.66</c:v>
                </c:pt>
                <c:pt idx="4">
                  <c:v>14.38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10-49C1-9ACA-6982334E43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876304"/>
        <c:axId val="621876632"/>
      </c:lineChart>
      <c:catAx>
        <c:axId val="62187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876632"/>
        <c:crosses val="autoZero"/>
        <c:auto val="0"/>
        <c:lblAlgn val="ctr"/>
        <c:lblOffset val="100"/>
        <c:noMultiLvlLbl val="0"/>
      </c:catAx>
      <c:valAx>
        <c:axId val="62187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1876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C5A-416D-A3EA-CA3C09732E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0.53</c:v>
                </c:pt>
                <c:pt idx="1">
                  <c:v>0.48</c:v>
                </c:pt>
                <c:pt idx="2">
                  <c:v>0.44</c:v>
                </c:pt>
                <c:pt idx="3">
                  <c:v>0.43</c:v>
                </c:pt>
                <c:pt idx="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5A-416D-A3EA-CA3C09732E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2152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1C7-401A-8DF8-3A8F75BA804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1C7-401A-8DF8-3A8F75BA80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7.49</c:v>
                </c:pt>
                <c:pt idx="1">
                  <c:v>178.21</c:v>
                </c:pt>
                <c:pt idx="2">
                  <c:v>435.8</c:v>
                </c:pt>
                <c:pt idx="3">
                  <c:v>400.12</c:v>
                </c:pt>
                <c:pt idx="4">
                  <c:v>322.16000000000003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C7-401A-8DF8-3A8F75BA80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1000"/>
        <c:axId val="553513952"/>
      </c:lineChart>
      <c:catAx>
        <c:axId val="553511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13952"/>
        <c:crosses val="autoZero"/>
        <c:auto val="0"/>
        <c:lblAlgn val="ctr"/>
        <c:lblOffset val="100"/>
        <c:noMultiLvlLbl val="0"/>
      </c:catAx>
      <c:valAx>
        <c:axId val="55351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1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E8C-4D6B-9B2D-792DD53214B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E8C-4D6B-9B2D-792DD53214B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E8C-4D6B-9B2D-792DD53214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4255</c:v>
                </c:pt>
                <c:pt idx="1">
                  <c:v>134382</c:v>
                </c:pt>
                <c:pt idx="2">
                  <c:v>311174</c:v>
                </c:pt>
                <c:pt idx="3">
                  <c:v>219148</c:v>
                </c:pt>
                <c:pt idx="4">
                  <c:v>318441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E8C-4D6B-9B2D-792DD5321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3296"/>
        <c:axId val="627516768"/>
      </c:lineChart>
      <c:catAx>
        <c:axId val="55351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6768"/>
        <c:crosses val="autoZero"/>
        <c:auto val="0"/>
        <c:lblAlgn val="ctr"/>
        <c:lblOffset val="100"/>
        <c:noMultiLvlLbl val="0"/>
      </c:catAx>
      <c:valAx>
        <c:axId val="627516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EE-43C6-9E44-572A25057DA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EE-43C6-9E44-572A25057DA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0.53</c:v>
                </c:pt>
                <c:pt idx="1">
                  <c:v>0.59</c:v>
                </c:pt>
                <c:pt idx="2">
                  <c:v>0.49</c:v>
                </c:pt>
                <c:pt idx="3">
                  <c:v>0.39</c:v>
                </c:pt>
                <c:pt idx="4">
                  <c:v>0.43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EE-43C6-9E44-572A25057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139032"/>
        <c:axId val="453139360"/>
      </c:lineChart>
      <c:catAx>
        <c:axId val="45313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139360"/>
        <c:crosses val="autoZero"/>
        <c:auto val="0"/>
        <c:lblAlgn val="ctr"/>
        <c:lblOffset val="100"/>
        <c:noMultiLvlLbl val="0"/>
      </c:catAx>
      <c:valAx>
        <c:axId val="453139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139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620-49E1-BE0E-15CF3ECCE8B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620-49E1-BE0E-15CF3ECCE8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7.08</c:v>
                </c:pt>
                <c:pt idx="1">
                  <c:v>9.25</c:v>
                </c:pt>
                <c:pt idx="2">
                  <c:v>8.93</c:v>
                </c:pt>
                <c:pt idx="3">
                  <c:v>6.6</c:v>
                </c:pt>
                <c:pt idx="4">
                  <c:v>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620-49E1-BE0E-15CF3ECCE8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520"/>
        <c:axId val="446760848"/>
      </c:lineChart>
      <c:catAx>
        <c:axId val="44676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0848"/>
        <c:crosses val="autoZero"/>
        <c:auto val="0"/>
        <c:lblAlgn val="ctr"/>
        <c:lblOffset val="100"/>
        <c:noMultiLvlLbl val="0"/>
      </c:catAx>
      <c:valAx>
        <c:axId val="446760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213-4F6F-A520-01C7C9294B1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2.0699999999999998</c:v>
                </c:pt>
                <c:pt idx="1">
                  <c:v>1.5</c:v>
                </c:pt>
                <c:pt idx="2">
                  <c:v>1.33</c:v>
                </c:pt>
                <c:pt idx="3">
                  <c:v>2.0499999999999998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213-4F6F-A520-01C7C9294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880"/>
        <c:axId val="446763472"/>
      </c:lineChart>
      <c:catAx>
        <c:axId val="4467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3472"/>
        <c:crosses val="autoZero"/>
        <c:auto val="0"/>
        <c:lblAlgn val="ctr"/>
        <c:lblOffset val="100"/>
        <c:noMultiLvlLbl val="0"/>
      </c:catAx>
      <c:valAx>
        <c:axId val="446763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DC4-4C1D-8833-24DA72008DF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DC4-4C1D-8833-24DA72008D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24.54</c:v>
                </c:pt>
                <c:pt idx="1">
                  <c:v>20.78</c:v>
                </c:pt>
                <c:pt idx="2">
                  <c:v>33.58</c:v>
                </c:pt>
                <c:pt idx="3">
                  <c:v>28.36</c:v>
                </c:pt>
                <c:pt idx="4">
                  <c:v>30.53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DC4-4C1D-8833-24DA72008D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76376"/>
        <c:axId val="625077032"/>
      </c:lineChart>
      <c:catAx>
        <c:axId val="62507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77032"/>
        <c:crosses val="autoZero"/>
        <c:auto val="0"/>
        <c:lblAlgn val="ctr"/>
        <c:lblOffset val="100"/>
        <c:noMultiLvlLbl val="0"/>
      </c:catAx>
      <c:valAx>
        <c:axId val="625077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076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0DE-4591-8BCA-66BA357ACB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1.36</c:v>
                </c:pt>
                <c:pt idx="1">
                  <c:v>2.0699999999999998</c:v>
                </c:pt>
                <c:pt idx="2">
                  <c:v>1.51</c:v>
                </c:pt>
                <c:pt idx="3">
                  <c:v>1.2</c:v>
                </c:pt>
                <c:pt idx="4">
                  <c:v>0.92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DE-4591-8BCA-66BA357AC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76048"/>
        <c:axId val="625072768"/>
      </c:lineChart>
      <c:catAx>
        <c:axId val="625076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72768"/>
        <c:crosses val="autoZero"/>
        <c:auto val="0"/>
        <c:lblAlgn val="ctr"/>
        <c:lblOffset val="100"/>
        <c:noMultiLvlLbl val="0"/>
      </c:catAx>
      <c:valAx>
        <c:axId val="625072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076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625-4B6F-B321-F14D1E008F8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625-4B6F-B321-F14D1E008F8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625-4B6F-B321-F14D1E008F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0.67</c:v>
                </c:pt>
                <c:pt idx="1">
                  <c:v>0.97</c:v>
                </c:pt>
                <c:pt idx="2">
                  <c:v>0.73</c:v>
                </c:pt>
                <c:pt idx="3">
                  <c:v>0.77</c:v>
                </c:pt>
                <c:pt idx="4">
                  <c:v>1.22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25-4B6F-B321-F14D1E008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53647224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224"/>
        <c:crosses val="autoZero"/>
        <c:auto val="0"/>
        <c:lblAlgn val="ctr"/>
        <c:lblOffset val="100"/>
        <c:noMultiLvlLbl val="0"/>
      </c:catAx>
      <c:valAx>
        <c:axId val="553647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743-4E81-B5FE-A4A720A1F17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743-4E81-B5FE-A4A720A1F1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51.55</c:v>
                </c:pt>
                <c:pt idx="1">
                  <c:v>39.44</c:v>
                </c:pt>
                <c:pt idx="2">
                  <c:v>40.869999999999997</c:v>
                </c:pt>
                <c:pt idx="3">
                  <c:v>55.28</c:v>
                </c:pt>
                <c:pt idx="4">
                  <c:v>54.51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43-4E81-B5FE-A4A720A1F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1174320"/>
        <c:axId val="271174648"/>
      </c:lineChart>
      <c:catAx>
        <c:axId val="271174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1174648"/>
        <c:crosses val="autoZero"/>
        <c:auto val="0"/>
        <c:lblAlgn val="ctr"/>
        <c:lblOffset val="100"/>
        <c:noMultiLvlLbl val="0"/>
      </c:catAx>
      <c:valAx>
        <c:axId val="271174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1174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4C9-4CA9-9CC5-48E3D2F93B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542.05999999999995</c:v>
                </c:pt>
                <c:pt idx="1">
                  <c:v>378.14</c:v>
                </c:pt>
                <c:pt idx="2">
                  <c:v>502.82</c:v>
                </c:pt>
                <c:pt idx="3">
                  <c:v>476.55</c:v>
                </c:pt>
                <c:pt idx="4">
                  <c:v>298.18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C9-4CA9-9CC5-48E3D2F93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8000"/>
        <c:axId val="453988328"/>
      </c:lineChart>
      <c:catAx>
        <c:axId val="453988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8328"/>
        <c:crosses val="autoZero"/>
        <c:auto val="0"/>
        <c:lblAlgn val="ctr"/>
        <c:lblOffset val="100"/>
        <c:noMultiLvlLbl val="0"/>
      </c:catAx>
      <c:valAx>
        <c:axId val="453988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988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1D4-442F-AC47-CC43DB590EC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1D4-442F-AC47-CC43DB590E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14.88</c:v>
                </c:pt>
                <c:pt idx="1">
                  <c:v>17.57</c:v>
                </c:pt>
                <c:pt idx="2">
                  <c:v>10.87</c:v>
                </c:pt>
                <c:pt idx="3">
                  <c:v>12.87</c:v>
                </c:pt>
                <c:pt idx="4">
                  <c:v>11.96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D4-442F-AC47-CC43DB590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68832"/>
        <c:axId val="625062600"/>
      </c:lineChart>
      <c:catAx>
        <c:axId val="62506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2600"/>
        <c:crosses val="autoZero"/>
        <c:auto val="0"/>
        <c:lblAlgn val="ctr"/>
        <c:lblOffset val="100"/>
        <c:noMultiLvlLbl val="0"/>
      </c:catAx>
      <c:valAx>
        <c:axId val="625062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0688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D7D-47FB-B14D-8DA9686F3F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593.61</c:v>
                </c:pt>
                <c:pt idx="1">
                  <c:v>417.58</c:v>
                </c:pt>
                <c:pt idx="2">
                  <c:v>543.69000000000005</c:v>
                </c:pt>
                <c:pt idx="3">
                  <c:v>531.83000000000004</c:v>
                </c:pt>
                <c:pt idx="4">
                  <c:v>352.69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7D-47FB-B14D-8DA9686F3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7048"/>
        <c:axId val="442857376"/>
      </c:lineChart>
      <c:catAx>
        <c:axId val="44285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7376"/>
        <c:crosses val="autoZero"/>
        <c:auto val="0"/>
        <c:lblAlgn val="ctr"/>
        <c:lblOffset val="100"/>
        <c:noMultiLvlLbl val="0"/>
      </c:catAx>
      <c:valAx>
        <c:axId val="442857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2857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127-427F-BC51-48A0A68EFD0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127-427F-BC51-48A0A68EFD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-51.55</c:v>
                </c:pt>
                <c:pt idx="1">
                  <c:v>-39.44</c:v>
                </c:pt>
                <c:pt idx="2">
                  <c:v>-40.869999999999997</c:v>
                </c:pt>
                <c:pt idx="3">
                  <c:v>-55.28</c:v>
                </c:pt>
                <c:pt idx="4">
                  <c:v>-54.51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27-427F-BC51-48A0A68EF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061944"/>
        <c:axId val="625067192"/>
      </c:lineChart>
      <c:catAx>
        <c:axId val="625061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7192"/>
        <c:crosses val="autoZero"/>
        <c:auto val="0"/>
        <c:lblAlgn val="ctr"/>
        <c:lblOffset val="100"/>
        <c:noMultiLvlLbl val="0"/>
      </c:catAx>
      <c:valAx>
        <c:axId val="625067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5061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293491</c:v>
                </c:pt>
                <c:pt idx="1">
                  <c:v>448197</c:v>
                </c:pt>
                <c:pt idx="2">
                  <c:v>626015</c:v>
                </c:pt>
                <c:pt idx="3">
                  <c:v>767220</c:v>
                </c:pt>
                <c:pt idx="4">
                  <c:v>949233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1C-4E8F-A2CF-B3287DCA9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558328"/>
        <c:axId val="452558984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816333</c:v>
                </c:pt>
                <c:pt idx="1">
                  <c:v>1063491</c:v>
                </c:pt>
                <c:pt idx="2">
                  <c:v>1342763</c:v>
                </c:pt>
                <c:pt idx="3">
                  <c:v>1388260</c:v>
                </c:pt>
                <c:pt idx="4">
                  <c:v>1669413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F1C-4E8F-A2CF-B3287DCA98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558328"/>
        <c:axId val="452558984"/>
      </c:lineChart>
      <c:catAx>
        <c:axId val="452558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58984"/>
        <c:crosses val="autoZero"/>
        <c:auto val="1"/>
        <c:lblAlgn val="ctr"/>
        <c:lblOffset val="100"/>
        <c:noMultiLvlLbl val="0"/>
      </c:catAx>
      <c:valAx>
        <c:axId val="452558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5583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134143</c:v>
                </c:pt>
                <c:pt idx="1">
                  <c:v>211803</c:v>
                </c:pt>
                <c:pt idx="2">
                  <c:v>244389</c:v>
                </c:pt>
                <c:pt idx="3">
                  <c:v>188861</c:v>
                </c:pt>
                <c:pt idx="4">
                  <c:v>239535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5B-413F-995C-E69682B88822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117437</c:v>
                </c:pt>
                <c:pt idx="1">
                  <c:v>190869</c:v>
                </c:pt>
                <c:pt idx="2">
                  <c:v>222186</c:v>
                </c:pt>
                <c:pt idx="3">
                  <c:v>162289</c:v>
                </c:pt>
                <c:pt idx="4">
                  <c:v>209738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15B-413F-995C-E69682B888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1172352"/>
        <c:axId val="553816224"/>
      </c:barChart>
      <c:catAx>
        <c:axId val="27117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224"/>
        <c:crosses val="autoZero"/>
        <c:auto val="1"/>
        <c:lblAlgn val="ctr"/>
        <c:lblOffset val="100"/>
        <c:noMultiLvlLbl val="0"/>
      </c:catAx>
      <c:valAx>
        <c:axId val="55381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11723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C6-4223-9891-7202825BEA6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8C6-4223-9891-7202825BEA6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C6-4223-9891-7202825BEA6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8C6-4223-9891-7202825BEA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186.41</c:v>
                </c:pt>
                <c:pt idx="1">
                  <c:v>188.88</c:v>
                </c:pt>
                <c:pt idx="2">
                  <c:v>216.71</c:v>
                </c:pt>
                <c:pt idx="3">
                  <c:v>402.07</c:v>
                </c:pt>
                <c:pt idx="4">
                  <c:v>480.64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C6-4223-9891-7202825BE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9864"/>
        <c:axId val="446760192"/>
      </c:lineChart>
      <c:catAx>
        <c:axId val="446759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0192"/>
        <c:crosses val="autoZero"/>
        <c:auto val="0"/>
        <c:lblAlgn val="ctr"/>
        <c:lblOffset val="100"/>
        <c:noMultiLvlLbl val="0"/>
      </c:catAx>
      <c:valAx>
        <c:axId val="446760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9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142579</c:v>
                </c:pt>
                <c:pt idx="1">
                  <c:v>312235</c:v>
                </c:pt>
                <c:pt idx="2">
                  <c:v>527638</c:v>
                </c:pt>
                <c:pt idx="3">
                  <c:v>490924</c:v>
                </c:pt>
                <c:pt idx="4">
                  <c:v>587360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8E-4626-970F-A3A18C35AAC0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308081</c:v>
                </c:pt>
                <c:pt idx="1">
                  <c:v>285149</c:v>
                </c:pt>
                <c:pt idx="2">
                  <c:v>359027</c:v>
                </c:pt>
                <c:pt idx="3">
                  <c:v>261015</c:v>
                </c:pt>
                <c:pt idx="4">
                  <c:v>294732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8E-4626-970F-A3A18C35A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77808"/>
        <c:axId val="451886632"/>
      </c:barChart>
      <c:catAx>
        <c:axId val="449877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86632"/>
        <c:crosses val="autoZero"/>
        <c:auto val="1"/>
        <c:lblAlgn val="ctr"/>
        <c:lblOffset val="100"/>
        <c:noMultiLvlLbl val="0"/>
      </c:catAx>
      <c:valAx>
        <c:axId val="45188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778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2906</c:v>
                </c:pt>
                <c:pt idx="1">
                  <c:v>2856</c:v>
                </c:pt>
                <c:pt idx="2">
                  <c:v>1790</c:v>
                </c:pt>
                <c:pt idx="3">
                  <c:v>2625</c:v>
                </c:pt>
                <c:pt idx="4">
                  <c:v>1853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43B-451E-A2C1-05D19CB30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01544"/>
        <c:axId val="551903512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1232</c:v>
                </c:pt>
                <c:pt idx="1">
                  <c:v>1326</c:v>
                </c:pt>
                <c:pt idx="2">
                  <c:v>1890</c:v>
                </c:pt>
                <c:pt idx="3">
                  <c:v>2504</c:v>
                </c:pt>
                <c:pt idx="4">
                  <c:v>1936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43B-451E-A2C1-05D19CB307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904168"/>
        <c:axId val="445515416"/>
      </c:lineChart>
      <c:catAx>
        <c:axId val="551901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1903512"/>
        <c:crosses val="autoZero"/>
        <c:auto val="1"/>
        <c:lblAlgn val="ctr"/>
        <c:lblOffset val="100"/>
        <c:noMultiLvlLbl val="0"/>
      </c:catAx>
      <c:valAx>
        <c:axId val="551903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1544"/>
        <c:crosses val="autoZero"/>
        <c:crossBetween val="between"/>
      </c:valAx>
      <c:valAx>
        <c:axId val="4455154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1904168"/>
        <c:crosses val="max"/>
        <c:crossBetween val="between"/>
      </c:valAx>
      <c:catAx>
        <c:axId val="551904168"/>
        <c:scaling>
          <c:orientation val="minMax"/>
        </c:scaling>
        <c:delete val="1"/>
        <c:axPos val="b"/>
        <c:majorTickMark val="out"/>
        <c:minorTickMark val="none"/>
        <c:tickLblPos val="nextTo"/>
        <c:crossAx val="44551541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207448</c:v>
                </c:pt>
                <c:pt idx="1">
                  <c:v>275237</c:v>
                </c:pt>
                <c:pt idx="2">
                  <c:v>260621</c:v>
                </c:pt>
                <c:pt idx="3">
                  <c:v>199915</c:v>
                </c:pt>
                <c:pt idx="4">
                  <c:v>360784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DE-4A43-A188-2FD83E0BA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071128"/>
        <c:axId val="62506686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28360</c:v>
                </c:pt>
                <c:pt idx="2">
                  <c:v>24155</c:v>
                </c:pt>
                <c:pt idx="3">
                  <c:v>19978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DE-4A43-A188-2FD83E0BA5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748384"/>
        <c:axId val="625068504"/>
      </c:lineChart>
      <c:catAx>
        <c:axId val="62507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5066864"/>
        <c:crosses val="autoZero"/>
        <c:auto val="1"/>
        <c:lblAlgn val="ctr"/>
        <c:lblOffset val="100"/>
        <c:noMultiLvlLbl val="0"/>
      </c:catAx>
      <c:valAx>
        <c:axId val="625066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71128"/>
        <c:crosses val="autoZero"/>
        <c:crossBetween val="between"/>
      </c:valAx>
      <c:valAx>
        <c:axId val="6250685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6748384"/>
        <c:crosses val="max"/>
        <c:crossBetween val="between"/>
      </c:valAx>
      <c:catAx>
        <c:axId val="446748384"/>
        <c:scaling>
          <c:orientation val="minMax"/>
        </c:scaling>
        <c:delete val="1"/>
        <c:axPos val="b"/>
        <c:majorTickMark val="out"/>
        <c:minorTickMark val="none"/>
        <c:tickLblPos val="nextTo"/>
        <c:crossAx val="62506850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430731</c:v>
                </c:pt>
                <c:pt idx="1">
                  <c:v>625212</c:v>
                </c:pt>
                <c:pt idx="2">
                  <c:v>659997</c:v>
                </c:pt>
                <c:pt idx="3">
                  <c:v>539238</c:v>
                </c:pt>
                <c:pt idx="4">
                  <c:v>721634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4A-4469-929A-2EE2CF91654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401626</c:v>
                </c:pt>
                <c:pt idx="1">
                  <c:v>577595</c:v>
                </c:pt>
                <c:pt idx="2">
                  <c:v>610699</c:v>
                </c:pt>
                <c:pt idx="3">
                  <c:v>483251</c:v>
                </c:pt>
                <c:pt idx="4">
                  <c:v>736581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4A-4469-929A-2EE2CF916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5064568"/>
        <c:axId val="625069488"/>
      </c:barChart>
      <c:catAx>
        <c:axId val="625064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9488"/>
        <c:crosses val="autoZero"/>
        <c:auto val="1"/>
        <c:lblAlgn val="ctr"/>
        <c:lblOffset val="100"/>
        <c:noMultiLvlLbl val="0"/>
      </c:catAx>
      <c:valAx>
        <c:axId val="625069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0645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</c:v>
                </c:pt>
                <c:pt idx="2">
                  <c:v>1342763</c:v>
                </c:pt>
                <c:pt idx="3">
                  <c:v>1388260</c:v>
                </c:pt>
                <c:pt idx="4">
                  <c:v>1669413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587-4CD4-80BF-1EC6784455AD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211222</c:v>
                </c:pt>
                <c:pt idx="1">
                  <c:v>321865</c:v>
                </c:pt>
                <c:pt idx="2">
                  <c:v>345540</c:v>
                </c:pt>
                <c:pt idx="3">
                  <c:v>260765</c:v>
                </c:pt>
                <c:pt idx="4">
                  <c:v>315949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587-4CD4-80BF-1EC6784455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187368"/>
        <c:axId val="632189992"/>
      </c:barChart>
      <c:catAx>
        <c:axId val="632187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89992"/>
        <c:crosses val="autoZero"/>
        <c:auto val="1"/>
        <c:lblAlgn val="ctr"/>
        <c:lblOffset val="100"/>
        <c:noMultiLvlLbl val="0"/>
      </c:catAx>
      <c:valAx>
        <c:axId val="632189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873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</c:v>
                </c:pt>
                <c:pt idx="2">
                  <c:v>1342763</c:v>
                </c:pt>
                <c:pt idx="3">
                  <c:v>1388260</c:v>
                </c:pt>
                <c:pt idx="4">
                  <c:v>1669413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0F-4EA2-833B-6F6CC43DF318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308081</c:v>
                </c:pt>
                <c:pt idx="1">
                  <c:v>285149</c:v>
                </c:pt>
                <c:pt idx="2">
                  <c:v>359027</c:v>
                </c:pt>
                <c:pt idx="3">
                  <c:v>261015</c:v>
                </c:pt>
                <c:pt idx="4">
                  <c:v>294732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0F-4EA2-833B-6F6CC43DF3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195568"/>
        <c:axId val="632191960"/>
      </c:barChart>
      <c:catAx>
        <c:axId val="6321955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91960"/>
        <c:crosses val="autoZero"/>
        <c:auto val="1"/>
        <c:lblAlgn val="ctr"/>
        <c:lblOffset val="100"/>
        <c:noMultiLvlLbl val="0"/>
      </c:catAx>
      <c:valAx>
        <c:axId val="632191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19556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</c:v>
                </c:pt>
                <c:pt idx="2">
                  <c:v>1342763</c:v>
                </c:pt>
                <c:pt idx="3">
                  <c:v>1388260</c:v>
                </c:pt>
                <c:pt idx="4">
                  <c:v>1669413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2B-433A-9A26-2CC19B90B013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673754</c:v>
                </c:pt>
                <c:pt idx="1">
                  <c:v>751256</c:v>
                </c:pt>
                <c:pt idx="2">
                  <c:v>815125</c:v>
                </c:pt>
                <c:pt idx="3">
                  <c:v>897336</c:v>
                </c:pt>
                <c:pt idx="4">
                  <c:v>1082053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82B-433A-9A26-2CC19B90B0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6841616"/>
        <c:axId val="446838008"/>
      </c:barChart>
      <c:catAx>
        <c:axId val="446841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838008"/>
        <c:crosses val="autoZero"/>
        <c:auto val="1"/>
        <c:lblAlgn val="ctr"/>
        <c:lblOffset val="100"/>
        <c:noMultiLvlLbl val="0"/>
      </c:catAx>
      <c:valAx>
        <c:axId val="446838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841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816333</c:v>
                </c:pt>
                <c:pt idx="1">
                  <c:v>1063491</c:v>
                </c:pt>
                <c:pt idx="2">
                  <c:v>1342763</c:v>
                </c:pt>
                <c:pt idx="3">
                  <c:v>1388260</c:v>
                </c:pt>
                <c:pt idx="4">
                  <c:v>1669413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2A-4CA5-8429-E34456704BDD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142579</c:v>
                </c:pt>
                <c:pt idx="1">
                  <c:v>312235</c:v>
                </c:pt>
                <c:pt idx="2">
                  <c:v>527638</c:v>
                </c:pt>
                <c:pt idx="3">
                  <c:v>490924</c:v>
                </c:pt>
                <c:pt idx="4">
                  <c:v>587360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2A-4CA5-8429-E34456704B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487144"/>
        <c:axId val="553487472"/>
      </c:barChart>
      <c:catAx>
        <c:axId val="553487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487472"/>
        <c:crosses val="autoZero"/>
        <c:auto val="1"/>
        <c:lblAlgn val="ctr"/>
        <c:lblOffset val="100"/>
        <c:noMultiLvlLbl val="0"/>
      </c:catAx>
      <c:valAx>
        <c:axId val="553487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4871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267483</c:v>
                </c:pt>
                <c:pt idx="1">
                  <c:v>365792</c:v>
                </c:pt>
                <c:pt idx="2">
                  <c:v>366310</c:v>
                </c:pt>
                <c:pt idx="3">
                  <c:v>294390</c:v>
                </c:pt>
                <c:pt idx="4">
                  <c:v>497046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8E-42A5-BAB6-01F353D45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63792"/>
        <c:axId val="555460840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401626</c:v>
                </c:pt>
                <c:pt idx="1">
                  <c:v>577595</c:v>
                </c:pt>
                <c:pt idx="2">
                  <c:v>610699</c:v>
                </c:pt>
                <c:pt idx="3">
                  <c:v>483251</c:v>
                </c:pt>
                <c:pt idx="4">
                  <c:v>736581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8E-42A5-BAB6-01F353D450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64120"/>
        <c:axId val="555459856"/>
      </c:lineChart>
      <c:catAx>
        <c:axId val="55546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0840"/>
        <c:crosses val="autoZero"/>
        <c:auto val="1"/>
        <c:lblAlgn val="ctr"/>
        <c:lblOffset val="100"/>
        <c:noMultiLvlLbl val="0"/>
      </c:catAx>
      <c:valAx>
        <c:axId val="55546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3792"/>
        <c:crosses val="autoZero"/>
        <c:crossBetween val="between"/>
      </c:valAx>
      <c:valAx>
        <c:axId val="5554598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464120"/>
        <c:crosses val="max"/>
        <c:crossBetween val="between"/>
      </c:valAx>
      <c:catAx>
        <c:axId val="5554641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545985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92123</c:v>
                </c:pt>
                <c:pt idx="1">
                  <c:v>154702</c:v>
                </c:pt>
                <c:pt idx="2">
                  <c:v>177405</c:v>
                </c:pt>
                <c:pt idx="3">
                  <c:v>141099</c:v>
                </c:pt>
                <c:pt idx="4">
                  <c:v>181693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5A-4733-A6EC-05F9D355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8544"/>
        <c:axId val="555462808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96039</c:v>
                </c:pt>
                <c:pt idx="1">
                  <c:v>158984</c:v>
                </c:pt>
                <c:pt idx="2">
                  <c:v>181989</c:v>
                </c:pt>
                <c:pt idx="3">
                  <c:v>145020</c:v>
                </c:pt>
                <c:pt idx="4">
                  <c:v>181693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D5A-4733-A6EC-05F9D355E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887208"/>
        <c:axId val="559886224"/>
      </c:lineChart>
      <c:catAx>
        <c:axId val="55545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2808"/>
        <c:crosses val="autoZero"/>
        <c:auto val="1"/>
        <c:lblAlgn val="ctr"/>
        <c:lblOffset val="100"/>
        <c:noMultiLvlLbl val="0"/>
      </c:catAx>
      <c:valAx>
        <c:axId val="555462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8544"/>
        <c:crosses val="autoZero"/>
        <c:crossBetween val="between"/>
      </c:valAx>
      <c:valAx>
        <c:axId val="5598862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887208"/>
        <c:crosses val="max"/>
        <c:crossBetween val="between"/>
      </c:valAx>
      <c:catAx>
        <c:axId val="559887208"/>
        <c:scaling>
          <c:orientation val="minMax"/>
        </c:scaling>
        <c:delete val="1"/>
        <c:axPos val="b"/>
        <c:majorTickMark val="out"/>
        <c:minorTickMark val="none"/>
        <c:tickLblPos val="nextTo"/>
        <c:crossAx val="55988622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7E7-4BBB-931A-1322403F0C5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7E7-4BBB-931A-1322403F0C5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0.03</c:v>
                </c:pt>
                <c:pt idx="1">
                  <c:v>0.02</c:v>
                </c:pt>
                <c:pt idx="2">
                  <c:v>0.02</c:v>
                </c:pt>
                <c:pt idx="3">
                  <c:v>0.03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7E7-4BBB-931A-1322403F0C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696"/>
        <c:axId val="364043088"/>
      </c:lineChart>
      <c:catAx>
        <c:axId val="36404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3088"/>
        <c:crosses val="autoZero"/>
        <c:auto val="0"/>
        <c:lblAlgn val="ctr"/>
        <c:lblOffset val="100"/>
        <c:noMultiLvlLbl val="0"/>
      </c:catAx>
      <c:valAx>
        <c:axId val="364043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6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42-49F1-930A-F0DB284E837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42-49F1-930A-F0DB284E837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642-49F1-930A-F0DB284E83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-1.0699999999999998</c:v>
                </c:pt>
                <c:pt idx="1">
                  <c:v>-0.5</c:v>
                </c:pt>
                <c:pt idx="2">
                  <c:v>-0.33000000000000007</c:v>
                </c:pt>
                <c:pt idx="3">
                  <c:v>-1.0499999999999998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42-49F1-930A-F0DB284E8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6496"/>
        <c:axId val="630033112"/>
      </c:lineChart>
      <c:catAx>
        <c:axId val="45078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3112"/>
        <c:crosses val="autoZero"/>
        <c:auto val="0"/>
        <c:lblAlgn val="ctr"/>
        <c:lblOffset val="100"/>
        <c:noMultiLvlLbl val="0"/>
      </c:catAx>
      <c:valAx>
        <c:axId val="630033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0786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478-49DE-A896-2C7CB005D77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478-49DE-A896-2C7CB005D77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478-49DE-A896-2C7CB005D7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223283</c:v>
                </c:pt>
                <c:pt idx="1">
                  <c:v>349975</c:v>
                </c:pt>
                <c:pt idx="2">
                  <c:v>399376</c:v>
                </c:pt>
                <c:pt idx="3">
                  <c:v>339323</c:v>
                </c:pt>
                <c:pt idx="4">
                  <c:v>360850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478-49DE-A896-2C7CB005D7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8008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008"/>
        <c:crosses val="autoZero"/>
        <c:auto val="0"/>
        <c:lblAlgn val="ctr"/>
        <c:lblOffset val="100"/>
        <c:noMultiLvlLbl val="0"/>
      </c:catAx>
      <c:valAx>
        <c:axId val="364048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92-4654-B9F8-E02759E463A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892-4654-B9F8-E02759E463A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163248</c:v>
                </c:pt>
                <c:pt idx="1">
                  <c:v>259420</c:v>
                </c:pt>
                <c:pt idx="2">
                  <c:v>293687</c:v>
                </c:pt>
                <c:pt idx="3">
                  <c:v>244848</c:v>
                </c:pt>
                <c:pt idx="4">
                  <c:v>224588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92-4654-B9F8-E02759E463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648864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864"/>
        <c:crosses val="autoZero"/>
        <c:auto val="0"/>
        <c:lblAlgn val="ctr"/>
        <c:lblOffset val="100"/>
        <c:noMultiLvlLbl val="0"/>
      </c:catAx>
      <c:valAx>
        <c:axId val="553648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55-4DA3-A76B-343F5E1AB94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555-4DA3-A76B-343F5E1AB9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0.12</c:v>
                </c:pt>
                <c:pt idx="1">
                  <c:v>0.15</c:v>
                </c:pt>
                <c:pt idx="2">
                  <c:v>0.14000000000000001</c:v>
                </c:pt>
                <c:pt idx="3">
                  <c:v>0.1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55-4DA3-A76B-343F5E1AB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031800"/>
        <c:axId val="630030488"/>
      </c:lineChart>
      <c:catAx>
        <c:axId val="630031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30488"/>
        <c:crosses val="autoZero"/>
        <c:auto val="0"/>
        <c:lblAlgn val="ctr"/>
        <c:lblOffset val="100"/>
        <c:noMultiLvlLbl val="0"/>
      </c:catAx>
      <c:valAx>
        <c:axId val="630030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30031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C20-4834-A8BF-4AA85A5B51F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C20-4834-A8BF-4AA85A5B51F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C20-4834-A8BF-4AA85A5B51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0.28000000000000003</c:v>
                </c:pt>
                <c:pt idx="1">
                  <c:v>0.3</c:v>
                </c:pt>
                <c:pt idx="2">
                  <c:v>0.32</c:v>
                </c:pt>
                <c:pt idx="3">
                  <c:v>0.31</c:v>
                </c:pt>
                <c:pt idx="4">
                  <c:v>0.33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C20-4834-A8BF-4AA85A5B5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208"/>
        <c:axId val="553592968"/>
      </c:lineChart>
      <c:catAx>
        <c:axId val="55364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2968"/>
        <c:crosses val="autoZero"/>
        <c:auto val="0"/>
        <c:lblAlgn val="ctr"/>
        <c:lblOffset val="100"/>
        <c:noMultiLvlLbl val="0"/>
      </c:catAx>
      <c:valAx>
        <c:axId val="553592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648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CA10D4-E835-1BD0-B503-F8A38D93D8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A41301A-9D5A-2DCD-793B-DE7D9CA9DD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759C149-4B11-7CC2-F133-5FB4FF5A44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819FCB9-92D9-1BD0-D0D4-8B19F76B66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DB0C7B-6AB1-23E2-D781-253569653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D3569B-5396-E04D-F826-79BEF72A77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686360-74E0-F066-FDD8-1574E4BCAD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D63546-A22B-0901-2ABD-AB895A0E24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16A0C1-802C-1C42-938A-834943265B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89E6C4-F1DD-D778-76AE-9FB978B088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192DF0-4EFB-C33F-3D96-35571958C4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1D68DA-93BE-AFAD-8DE9-D6BCBA36DC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A692CB-DA8D-04DD-87CC-9C955E2147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1C7B0-80A2-CF7A-D592-7B47247B9B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ABA071-FD0E-D6F8-D951-914C7085DB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D32AF2-7783-75D4-52B4-225A3425A7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9E0F76B-247A-1F28-DC48-821B070DF3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05F0B0-55FE-2F41-65FF-B0D7667ECD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1773CF-9731-DED4-5389-801765EB8D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8AA5781-177B-8529-9207-9F74232DA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AB9BEA9A-0F20-4C84-B952-987244906F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FCA5A7B5-7E4C-F7F6-AB87-9257E3C984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83AE03-7135-F2A2-A491-BEFDAF9DE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4215B928-B2C3-54ED-A028-06B5CE9E76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1AA4D470-B3B7-4B54-6654-6AB108D666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FEBCFEB9-E360-4DC8-58AB-D72F8DA61F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4DCF8234-43F1-F913-5A30-A48AB8FF51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11043940-510D-FAAE-057B-D6CEAAD834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AAACF3FA-8A5A-F3DA-D6C2-29FED3270B5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F8AE0162-5E0C-B816-1C7F-E2A9EDCB98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913EEBB9-EF73-C898-DADD-511ACE11F3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346CE345-C6C5-A6A9-E8E6-03158433CF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691FF2D8-49BC-DBC2-E301-9E6BFBC575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32BD6AE-661D-1175-30BC-0A013ABC78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5D260E-E75B-B163-11E6-96BFCCED6D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720F31-4D97-7CEA-0C74-90E6E311C1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301F2-EC4C-929C-0CA5-B56DB31FD3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F551E2-668C-A9A2-EA2A-90E547049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A562DD-902E-4B74-0C01-AB1CFDE2F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957FB-0F61-4E89-A771-AA1D26E2B594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5922</v>
      </c>
      <c r="D6" s="2">
        <v>5926</v>
      </c>
      <c r="E6" s="2">
        <v>6339</v>
      </c>
      <c r="F6" s="2">
        <v>6445</v>
      </c>
      <c r="G6" s="2">
        <v>6765</v>
      </c>
      <c r="H6" t="s">
        <v>1</v>
      </c>
    </row>
    <row r="7" spans="1:8" x14ac:dyDescent="0.25">
      <c r="B7" t="s">
        <v>6</v>
      </c>
      <c r="C7" s="2">
        <v>5922</v>
      </c>
      <c r="D7" s="2">
        <v>5926</v>
      </c>
      <c r="E7" s="2">
        <v>6339</v>
      </c>
      <c r="F7" s="2">
        <v>6445</v>
      </c>
      <c r="G7" s="2">
        <v>6765</v>
      </c>
      <c r="H7" t="s">
        <v>1</v>
      </c>
    </row>
    <row r="8" spans="1:8" x14ac:dyDescent="0.25">
      <c r="A8" t="s">
        <v>90</v>
      </c>
      <c r="B8" t="s">
        <v>7</v>
      </c>
      <c r="C8" s="2">
        <v>287569</v>
      </c>
      <c r="D8" s="2">
        <v>381186</v>
      </c>
      <c r="E8" s="2">
        <v>442827</v>
      </c>
      <c r="F8" s="2">
        <v>693727</v>
      </c>
      <c r="G8" s="2">
        <v>772720</v>
      </c>
      <c r="H8" t="s">
        <v>1</v>
      </c>
    </row>
    <row r="9" spans="1:8" x14ac:dyDescent="0.25">
      <c r="B9" t="s">
        <v>8</v>
      </c>
      <c r="C9" s="2">
        <v>287569</v>
      </c>
      <c r="D9" s="2">
        <v>381186</v>
      </c>
      <c r="E9" s="2">
        <v>442827</v>
      </c>
      <c r="F9" s="2">
        <v>693727</v>
      </c>
      <c r="G9" s="2">
        <v>772720</v>
      </c>
      <c r="H9" t="s">
        <v>1</v>
      </c>
    </row>
    <row r="10" spans="1:8" x14ac:dyDescent="0.25">
      <c r="B10" t="s">
        <v>9</v>
      </c>
      <c r="C10" s="2">
        <v>293491</v>
      </c>
      <c r="D10" s="2">
        <v>387112</v>
      </c>
      <c r="E10" s="2">
        <v>449166</v>
      </c>
      <c r="F10" s="2">
        <v>700172</v>
      </c>
      <c r="G10" s="2">
        <v>779485</v>
      </c>
      <c r="H10" t="s">
        <v>1</v>
      </c>
    </row>
    <row r="11" spans="1:8" x14ac:dyDescent="0.25">
      <c r="A11" t="s">
        <v>10</v>
      </c>
      <c r="B11" t="s">
        <v>10</v>
      </c>
      <c r="C11" s="2">
        <v>3539</v>
      </c>
      <c r="D11" s="2">
        <v>8280</v>
      </c>
      <c r="E11" s="2">
        <v>12181</v>
      </c>
      <c r="F11" s="2">
        <v>99260</v>
      </c>
      <c r="G11" s="2">
        <v>109499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144175</v>
      </c>
      <c r="D13" s="2">
        <v>207506</v>
      </c>
      <c r="E13" s="2">
        <v>197631</v>
      </c>
      <c r="F13" s="2">
        <v>163683</v>
      </c>
      <c r="G13" s="2">
        <v>187699</v>
      </c>
      <c r="H13" t="s">
        <v>1</v>
      </c>
    </row>
    <row r="14" spans="1:8" x14ac:dyDescent="0.25">
      <c r="A14" t="s">
        <v>91</v>
      </c>
      <c r="B14" t="s">
        <v>13</v>
      </c>
      <c r="C14" s="2">
        <v>29618</v>
      </c>
      <c r="D14" s="2">
        <v>49923</v>
      </c>
      <c r="E14" s="2">
        <v>54123</v>
      </c>
      <c r="F14" s="2">
        <v>37001</v>
      </c>
      <c r="G14" s="2">
        <v>49644</v>
      </c>
      <c r="H14" t="s">
        <v>1</v>
      </c>
    </row>
    <row r="15" spans="1:8" x14ac:dyDescent="0.25">
      <c r="A15" t="s">
        <v>92</v>
      </c>
      <c r="B15" t="s">
        <v>14</v>
      </c>
      <c r="C15" s="2">
        <v>28752</v>
      </c>
      <c r="D15" s="2">
        <v>29407</v>
      </c>
      <c r="E15" s="2">
        <v>38108</v>
      </c>
      <c r="F15" s="2">
        <v>40903</v>
      </c>
      <c r="G15" s="2">
        <v>62823</v>
      </c>
      <c r="H15" t="s">
        <v>1</v>
      </c>
    </row>
    <row r="16" spans="1:8" x14ac:dyDescent="0.25">
      <c r="A16" t="s">
        <v>93</v>
      </c>
      <c r="B16" t="s">
        <v>15</v>
      </c>
      <c r="C16" s="2">
        <v>2906</v>
      </c>
      <c r="D16" s="2">
        <v>2856</v>
      </c>
      <c r="E16" s="2">
        <v>1790</v>
      </c>
      <c r="F16" s="2">
        <v>2625</v>
      </c>
      <c r="G16" s="2">
        <v>1853</v>
      </c>
      <c r="H16" t="s">
        <v>1</v>
      </c>
    </row>
    <row r="17" spans="1:8" x14ac:dyDescent="0.25">
      <c r="B17" t="s">
        <v>16</v>
      </c>
      <c r="C17" s="2">
        <v>205451</v>
      </c>
      <c r="D17" s="2">
        <v>289692</v>
      </c>
      <c r="E17" s="2">
        <v>291652</v>
      </c>
      <c r="F17" s="2">
        <v>244212</v>
      </c>
      <c r="G17" s="2">
        <v>302019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37429</v>
      </c>
      <c r="D19" s="2">
        <v>64436</v>
      </c>
      <c r="E19" s="2">
        <v>93786</v>
      </c>
      <c r="F19" s="2">
        <v>60081</v>
      </c>
      <c r="G19" s="2">
        <v>78606</v>
      </c>
      <c r="H19" t="s">
        <v>1</v>
      </c>
    </row>
    <row r="20" spans="1:8" x14ac:dyDescent="0.25">
      <c r="A20" t="s">
        <v>92</v>
      </c>
      <c r="B20" t="s">
        <v>19</v>
      </c>
      <c r="C20" s="2">
        <v>106861</v>
      </c>
      <c r="D20" s="2">
        <v>108309</v>
      </c>
      <c r="E20" s="2">
        <v>96799</v>
      </c>
      <c r="F20" s="2">
        <v>108897</v>
      </c>
      <c r="G20" s="2">
        <v>159330</v>
      </c>
      <c r="H20" t="s">
        <v>1</v>
      </c>
    </row>
    <row r="21" spans="1:8" x14ac:dyDescent="0.25">
      <c r="A21" t="s">
        <v>92</v>
      </c>
      <c r="B21" t="s">
        <v>20</v>
      </c>
      <c r="C21" s="2">
        <v>168330</v>
      </c>
      <c r="D21" s="2">
        <v>143251</v>
      </c>
      <c r="E21" s="2">
        <v>220440</v>
      </c>
      <c r="F21" s="2">
        <v>106086</v>
      </c>
      <c r="G21" s="2">
        <v>68790</v>
      </c>
      <c r="H21" t="s">
        <v>1</v>
      </c>
    </row>
    <row r="22" spans="1:8" x14ac:dyDescent="0.25">
      <c r="A22" t="s">
        <v>93</v>
      </c>
      <c r="B22" t="s">
        <v>21</v>
      </c>
      <c r="C22" s="2">
        <v>1232</v>
      </c>
      <c r="D22" s="2">
        <v>1326</v>
      </c>
      <c r="E22" s="2">
        <v>1890</v>
      </c>
      <c r="F22" s="2">
        <v>2504</v>
      </c>
      <c r="G22" s="2">
        <v>1936</v>
      </c>
      <c r="H22" t="s">
        <v>1</v>
      </c>
    </row>
    <row r="23" spans="1:8" x14ac:dyDescent="0.25">
      <c r="B23" t="s">
        <v>22</v>
      </c>
      <c r="C23" s="2">
        <v>313852</v>
      </c>
      <c r="D23" s="2">
        <v>317322</v>
      </c>
      <c r="E23" s="2">
        <v>412915</v>
      </c>
      <c r="F23" s="2">
        <v>277568</v>
      </c>
      <c r="G23" s="2">
        <v>308662</v>
      </c>
      <c r="H23" t="s">
        <v>1</v>
      </c>
    </row>
    <row r="24" spans="1:8" x14ac:dyDescent="0.25">
      <c r="B24" t="s">
        <v>23</v>
      </c>
      <c r="C24" s="2">
        <v>816348</v>
      </c>
      <c r="D24" s="2">
        <v>1002406</v>
      </c>
      <c r="E24" s="2">
        <v>1165915</v>
      </c>
      <c r="F24" s="2">
        <v>1321212</v>
      </c>
      <c r="G24" s="2">
        <v>1499665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316031</v>
      </c>
      <c r="D27" s="2">
        <v>302115</v>
      </c>
      <c r="E27" s="2">
        <v>435920</v>
      </c>
      <c r="F27" s="2">
        <v>451066</v>
      </c>
      <c r="G27" s="2">
        <v>787295</v>
      </c>
      <c r="H27" t="s">
        <v>1</v>
      </c>
    </row>
    <row r="28" spans="1:8" x14ac:dyDescent="0.25">
      <c r="A28" t="s">
        <v>29</v>
      </c>
      <c r="B28" t="s">
        <v>27</v>
      </c>
      <c r="C28">
        <v>82041</v>
      </c>
      <c r="D28" s="2">
        <v>84262</v>
      </c>
      <c r="E28" s="2">
        <v>86479</v>
      </c>
      <c r="F28" s="2">
        <v>79980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166220</v>
      </c>
      <c r="D29" s="2">
        <v>150178</v>
      </c>
      <c r="E29" s="2">
        <v>59096</v>
      </c>
      <c r="F29" s="2">
        <v>71171</v>
      </c>
      <c r="G29" s="2">
        <v>0</v>
      </c>
      <c r="H29" t="s">
        <v>1</v>
      </c>
    </row>
    <row r="30" spans="1:8" x14ac:dyDescent="0.25">
      <c r="B30" t="s">
        <v>29</v>
      </c>
      <c r="C30" s="2">
        <v>585094</v>
      </c>
      <c r="D30" s="2">
        <v>565840</v>
      </c>
      <c r="E30" s="2">
        <v>631505</v>
      </c>
      <c r="F30" s="2">
        <v>656999</v>
      </c>
      <c r="G30" s="2">
        <v>787295</v>
      </c>
      <c r="H30" t="s">
        <v>1</v>
      </c>
    </row>
    <row r="31" spans="1:8" x14ac:dyDescent="0.25">
      <c r="A31" t="s">
        <v>94</v>
      </c>
      <c r="B31" t="s">
        <v>30</v>
      </c>
      <c r="C31" s="2">
        <v>25259</v>
      </c>
      <c r="D31" s="2">
        <v>164612</v>
      </c>
      <c r="E31" s="2">
        <v>203852</v>
      </c>
      <c r="F31" s="2">
        <v>212382</v>
      </c>
      <c r="G31" s="2">
        <v>286146</v>
      </c>
      <c r="H31" t="s">
        <v>1</v>
      </c>
    </row>
    <row r="32" spans="1:8" x14ac:dyDescent="0.25">
      <c r="A32" t="s">
        <v>95</v>
      </c>
      <c r="B32" t="s">
        <v>31</v>
      </c>
      <c r="C32" s="2">
        <v>5075</v>
      </c>
      <c r="D32" s="2">
        <v>4776</v>
      </c>
      <c r="E32" s="2">
        <v>2900</v>
      </c>
      <c r="F32" s="2">
        <v>1147</v>
      </c>
      <c r="G32" s="2">
        <v>1043</v>
      </c>
      <c r="H32" t="s">
        <v>1</v>
      </c>
    </row>
    <row r="33" spans="1:8" x14ac:dyDescent="0.25">
      <c r="A33" t="s">
        <v>95</v>
      </c>
      <c r="B33" t="s">
        <v>32</v>
      </c>
      <c r="C33" s="2">
        <v>2668</v>
      </c>
      <c r="D33" s="2">
        <v>5452</v>
      </c>
      <c r="E33" s="2">
        <v>21732</v>
      </c>
      <c r="F33" s="2">
        <v>2484</v>
      </c>
      <c r="G33" s="2">
        <v>1588</v>
      </c>
      <c r="H33" t="s">
        <v>1</v>
      </c>
    </row>
    <row r="34" spans="1:8" x14ac:dyDescent="0.25">
      <c r="A34" t="s">
        <v>95</v>
      </c>
      <c r="B34" t="s">
        <v>33</v>
      </c>
      <c r="C34" s="2">
        <v>8653</v>
      </c>
      <c r="D34" s="2">
        <v>17676</v>
      </c>
      <c r="E34" s="2">
        <v>37407</v>
      </c>
      <c r="F34" s="2">
        <v>64977</v>
      </c>
      <c r="G34" s="2">
        <v>63565</v>
      </c>
      <c r="H34" t="s">
        <v>1</v>
      </c>
    </row>
    <row r="35" spans="1:8" x14ac:dyDescent="0.25">
      <c r="B35" t="s">
        <v>34</v>
      </c>
      <c r="C35" s="2">
        <v>632562</v>
      </c>
      <c r="D35" s="2">
        <v>770353</v>
      </c>
      <c r="E35" s="2">
        <v>907655</v>
      </c>
      <c r="F35" s="2">
        <v>948201</v>
      </c>
      <c r="G35" s="2">
        <v>1152646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57603</v>
      </c>
      <c r="D37" s="2">
        <v>71023</v>
      </c>
      <c r="E37" s="2">
        <v>72915</v>
      </c>
      <c r="F37" s="2">
        <v>152446</v>
      </c>
      <c r="G37" s="2">
        <v>108118</v>
      </c>
      <c r="H37" t="s">
        <v>1</v>
      </c>
    </row>
    <row r="38" spans="1:8" x14ac:dyDescent="0.25">
      <c r="A38" t="s">
        <v>96</v>
      </c>
      <c r="B38" t="s">
        <v>37</v>
      </c>
      <c r="C38" s="2">
        <v>60837</v>
      </c>
      <c r="D38" s="2">
        <v>67561</v>
      </c>
      <c r="E38" s="2">
        <v>73903</v>
      </c>
      <c r="F38" s="2">
        <v>81672</v>
      </c>
      <c r="G38" s="2">
        <v>107778</v>
      </c>
      <c r="H38" t="s">
        <v>1</v>
      </c>
    </row>
    <row r="39" spans="1:8" x14ac:dyDescent="0.25">
      <c r="A39" t="s">
        <v>96</v>
      </c>
      <c r="B39" t="s">
        <v>38</v>
      </c>
      <c r="C39" s="2">
        <v>17555</v>
      </c>
      <c r="D39" s="2">
        <v>30089</v>
      </c>
      <c r="E39" s="2">
        <v>19656</v>
      </c>
      <c r="F39" s="2">
        <v>19014</v>
      </c>
      <c r="G39" s="2">
        <v>23640</v>
      </c>
      <c r="H39" t="s">
        <v>1</v>
      </c>
    </row>
    <row r="40" spans="1:8" x14ac:dyDescent="0.25">
      <c r="A40" t="s">
        <v>96</v>
      </c>
      <c r="B40" t="s">
        <v>39</v>
      </c>
      <c r="C40" s="2">
        <v>4255</v>
      </c>
      <c r="D40" s="2">
        <v>11081</v>
      </c>
      <c r="E40" s="2">
        <v>30920</v>
      </c>
      <c r="F40" s="2">
        <v>17397</v>
      </c>
      <c r="G40" s="2">
        <v>36178</v>
      </c>
      <c r="H40" t="s">
        <v>1</v>
      </c>
    </row>
    <row r="41" spans="1:8" x14ac:dyDescent="0.25">
      <c r="A41" t="s">
        <v>95</v>
      </c>
      <c r="B41" t="s">
        <v>40</v>
      </c>
      <c r="C41">
        <v>2327</v>
      </c>
      <c r="D41">
        <v>545</v>
      </c>
      <c r="E41">
        <v>669</v>
      </c>
      <c r="F41">
        <v>65</v>
      </c>
      <c r="G41" s="2">
        <v>130</v>
      </c>
      <c r="H41" t="s">
        <v>1</v>
      </c>
    </row>
    <row r="42" spans="1:8" x14ac:dyDescent="0.25">
      <c r="A42" t="s">
        <v>95</v>
      </c>
      <c r="B42" t="s">
        <v>41</v>
      </c>
      <c r="C42" s="2">
        <v>41209</v>
      </c>
      <c r="D42" s="2">
        <v>51754</v>
      </c>
      <c r="E42" s="2">
        <v>60197</v>
      </c>
      <c r="F42" s="2">
        <v>102417</v>
      </c>
      <c r="G42" s="2">
        <v>71175</v>
      </c>
      <c r="H42" t="s">
        <v>1</v>
      </c>
    </row>
    <row r="43" spans="1:8" x14ac:dyDescent="0.25">
      <c r="B43" t="s">
        <v>42</v>
      </c>
      <c r="C43" s="2">
        <v>183786</v>
      </c>
      <c r="D43" s="2">
        <v>232053</v>
      </c>
      <c r="E43" s="2">
        <v>258260</v>
      </c>
      <c r="F43" s="2">
        <v>373011</v>
      </c>
      <c r="G43" s="2">
        <v>347019</v>
      </c>
      <c r="H43" t="s">
        <v>1</v>
      </c>
    </row>
    <row r="44" spans="1:8" x14ac:dyDescent="0.25">
      <c r="B44" t="s">
        <v>43</v>
      </c>
      <c r="C44" s="2">
        <v>816348</v>
      </c>
      <c r="D44" s="2">
        <v>1002406</v>
      </c>
      <c r="E44" s="2">
        <v>1165915</v>
      </c>
      <c r="F44" s="2">
        <v>1321212</v>
      </c>
      <c r="G44" s="2">
        <v>1499665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60997</v>
      </c>
      <c r="D47" s="2">
        <v>50904</v>
      </c>
      <c r="E47" s="2">
        <v>54891</v>
      </c>
      <c r="F47" s="2">
        <v>85366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5188.8900000000003</v>
      </c>
      <c r="D49" s="2">
        <v>5188.8900000000003</v>
      </c>
      <c r="E49" s="2">
        <v>5188.8900000000003</v>
      </c>
      <c r="F49" s="2">
        <v>5188.8900000000003</v>
      </c>
      <c r="G49" s="2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0</v>
      </c>
      <c r="D52" s="2">
        <v>143718</v>
      </c>
      <c r="E52" s="2">
        <v>174448</v>
      </c>
      <c r="F52" s="2">
        <v>193228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 s="2">
        <v>44706</v>
      </c>
      <c r="E55" s="2">
        <v>40993</v>
      </c>
      <c r="F55" s="2">
        <v>115098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9D3310-A51A-40C3-8895-44BD865B7074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3255</v>
      </c>
      <c r="D6" s="16">
        <f>'Income Statement'!D28</f>
        <v>3554</v>
      </c>
      <c r="E6" s="16">
        <f>'Income Statement'!E28</f>
        <v>3852</v>
      </c>
      <c r="F6" s="16">
        <f>'Income Statement'!F28</f>
        <v>3921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1574.4098360655737</v>
      </c>
      <c r="D7" s="16">
        <f>'Income Statement'!D35</f>
        <v>2372.8955223880598</v>
      </c>
      <c r="E7" s="16">
        <f>'Income Statement'!E35</f>
        <v>2888.7142857142858</v>
      </c>
      <c r="F7" s="16">
        <f>'Income Statement'!F35</f>
        <v>1908.1578947368421</v>
      </c>
      <c r="G7" s="16">
        <f>'Income Statement'!G35</f>
        <v>1974.9239130434783</v>
      </c>
    </row>
    <row r="8" spans="2:7" ht="18.75" x14ac:dyDescent="0.25">
      <c r="B8" s="15" t="s">
        <v>148</v>
      </c>
      <c r="C8" s="16">
        <f>ROUND(C6/C7, 2)</f>
        <v>2.0699999999999998</v>
      </c>
      <c r="D8" s="16">
        <f t="shared" ref="D8:G8" si="0">ROUND(D6/D7, 2)</f>
        <v>1.5</v>
      </c>
      <c r="E8" s="16">
        <f t="shared" si="0"/>
        <v>1.33</v>
      </c>
      <c r="F8" s="16">
        <f t="shared" si="0"/>
        <v>2.0499999999999998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96039</v>
      </c>
      <c r="D9" s="16">
        <f>'Income Statement'!D27</f>
        <v>158984</v>
      </c>
      <c r="E9" s="16">
        <f>'Income Statement'!E27</f>
        <v>181989</v>
      </c>
      <c r="F9" s="16">
        <f>'Income Statement'!F27</f>
        <v>145020</v>
      </c>
      <c r="G9" s="16">
        <f>'Income Statement'!G27</f>
        <v>181693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1574.4098360655737</v>
      </c>
      <c r="D10" s="16">
        <f>'Income Statement'!D35</f>
        <v>2372.8955223880598</v>
      </c>
      <c r="E10" s="16">
        <f>'Income Statement'!E35</f>
        <v>2888.7142857142858</v>
      </c>
      <c r="F10" s="16">
        <f>'Income Statement'!F35</f>
        <v>1908.1578947368421</v>
      </c>
      <c r="G10" s="16">
        <f>'Income Statement'!G35</f>
        <v>1974.9239130434783</v>
      </c>
    </row>
    <row r="11" spans="2:7" ht="18.75" x14ac:dyDescent="0.25">
      <c r="B11" s="15" t="s">
        <v>146</v>
      </c>
      <c r="C11" s="16">
        <f>C9/C10</f>
        <v>61</v>
      </c>
      <c r="D11" s="16">
        <f t="shared" ref="D11:G11" si="1">D9/D10</f>
        <v>67</v>
      </c>
      <c r="E11" s="16">
        <f t="shared" si="1"/>
        <v>63</v>
      </c>
      <c r="F11" s="16">
        <f t="shared" si="1"/>
        <v>76</v>
      </c>
      <c r="G11" s="16">
        <f t="shared" si="1"/>
        <v>92</v>
      </c>
    </row>
    <row r="12" spans="2:7" ht="18.75" x14ac:dyDescent="0.25">
      <c r="B12" s="17" t="s">
        <v>152</v>
      </c>
      <c r="C12" s="17">
        <f>ROUND(C8/C11, 2)</f>
        <v>0.03</v>
      </c>
      <c r="D12" s="17">
        <f t="shared" ref="D12:G12" si="2">ROUND(D8/D11, 2)</f>
        <v>0.02</v>
      </c>
      <c r="E12" s="17">
        <f t="shared" si="2"/>
        <v>0.02</v>
      </c>
      <c r="F12" s="17">
        <f t="shared" si="2"/>
        <v>0.03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8927D-26C7-4981-BD90-D45D438C27A8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5" width="11.85546875" bestFit="1" customWidth="1"/>
    <col min="6" max="6" width="13.57031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3255</v>
      </c>
      <c r="D6" s="16">
        <f>'Income Statement'!D28</f>
        <v>3554</v>
      </c>
      <c r="E6" s="16">
        <f>'Income Statement'!E28</f>
        <v>3852</v>
      </c>
      <c r="F6" s="16">
        <f>'Income Statement'!F28</f>
        <v>3921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1574.4098360655737</v>
      </c>
      <c r="D7" s="16">
        <f>'Income Statement'!D35</f>
        <v>2372.8955223880598</v>
      </c>
      <c r="E7" s="16">
        <f>'Income Statement'!E35</f>
        <v>2888.7142857142858</v>
      </c>
      <c r="F7" s="16">
        <f>'Income Statement'!F35</f>
        <v>1908.1578947368421</v>
      </c>
      <c r="G7" s="16">
        <f>'Income Statement'!G35</f>
        <v>1974.9239130434783</v>
      </c>
    </row>
    <row r="8" spans="2:7" ht="18.75" x14ac:dyDescent="0.25">
      <c r="B8" s="15" t="s">
        <v>154</v>
      </c>
      <c r="C8" s="16">
        <f>ROUND(C6/C7, 2)</f>
        <v>2.0699999999999998</v>
      </c>
      <c r="D8" s="16">
        <f t="shared" ref="D8:G8" si="0">ROUND(D6/D7, 2)</f>
        <v>1.5</v>
      </c>
      <c r="E8" s="16">
        <f t="shared" si="0"/>
        <v>1.33</v>
      </c>
      <c r="F8" s="16">
        <f t="shared" si="0"/>
        <v>2.0499999999999998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-1.0699999999999998</v>
      </c>
      <c r="D9" s="27">
        <f t="shared" ref="D9:G9" si="1">1-D8</f>
        <v>-0.5</v>
      </c>
      <c r="E9" s="27">
        <f t="shared" si="1"/>
        <v>-0.33000000000000007</v>
      </c>
      <c r="F9" s="27">
        <f t="shared" si="1"/>
        <v>-1.0499999999999998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53F107-CF9C-489C-8372-99520A0DD8B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207448</v>
      </c>
      <c r="D7" s="16">
        <f>'Income Statement'!D11</f>
        <v>275237</v>
      </c>
      <c r="E7" s="16">
        <f>'Income Statement'!E11</f>
        <v>260621</v>
      </c>
      <c r="F7" s="16">
        <f>'Income Statement'!F11</f>
        <v>199915</v>
      </c>
      <c r="G7" s="16">
        <f>'Income Statement'!G11</f>
        <v>360784</v>
      </c>
    </row>
    <row r="8" spans="2:7" ht="18.75" x14ac:dyDescent="0.25">
      <c r="B8" s="17" t="s">
        <v>157</v>
      </c>
      <c r="C8" s="28">
        <f>ROUND(C6- C7, 2)</f>
        <v>223283</v>
      </c>
      <c r="D8" s="28">
        <f t="shared" ref="D8:G8" si="0">ROUND(D6- D7, 2)</f>
        <v>349975</v>
      </c>
      <c r="E8" s="28">
        <f t="shared" si="0"/>
        <v>399376</v>
      </c>
      <c r="F8" s="28">
        <f t="shared" si="0"/>
        <v>339323</v>
      </c>
      <c r="G8" s="28">
        <f t="shared" si="0"/>
        <v>360850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93223-9087-46D2-B0B3-71F69979ED6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'Income Statement'!B15</f>
        <v>Total Expenditure</v>
      </c>
      <c r="C7" s="16">
        <f>'Income Statement'!C15</f>
        <v>267483</v>
      </c>
      <c r="D7" s="16">
        <f>'Income Statement'!D15</f>
        <v>365792</v>
      </c>
      <c r="E7" s="16">
        <f>'Income Statement'!E15</f>
        <v>366310</v>
      </c>
      <c r="F7" s="16">
        <f>'Income Statement'!F15</f>
        <v>294390</v>
      </c>
      <c r="G7" s="16">
        <f>'Income Statement'!G15</f>
        <v>497046</v>
      </c>
    </row>
    <row r="8" spans="2:7" ht="18.75" x14ac:dyDescent="0.25">
      <c r="B8" s="17" t="s">
        <v>159</v>
      </c>
      <c r="C8" s="28">
        <f>ROUND(C6- C7, 2)</f>
        <v>163248</v>
      </c>
      <c r="D8" s="28">
        <f t="shared" ref="D8:G8" si="0">ROUND(D6- D7, 2)</f>
        <v>259420</v>
      </c>
      <c r="E8" s="28">
        <f t="shared" si="0"/>
        <v>293687</v>
      </c>
      <c r="F8" s="28">
        <f t="shared" si="0"/>
        <v>244848</v>
      </c>
      <c r="G8" s="28">
        <f t="shared" si="0"/>
        <v>224588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97415-C147-4CEB-B394-4716FEBA0ED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3" width="14.85546875" bestFit="1" customWidth="1"/>
    <col min="4" max="7" width="16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96039</v>
      </c>
      <c r="D6" s="16">
        <f>'Income Statement'!D27</f>
        <v>158984</v>
      </c>
      <c r="E6" s="16">
        <f>'Income Statement'!E27</f>
        <v>181989</v>
      </c>
      <c r="F6" s="16">
        <f>'Income Statement'!F27</f>
        <v>145020</v>
      </c>
      <c r="G6" s="16">
        <f>'Income Statement'!G27</f>
        <v>181693</v>
      </c>
    </row>
    <row r="7" spans="2:7" ht="18.75" x14ac:dyDescent="0.25">
      <c r="B7" s="15" t="str">
        <f>'Balance Sheet'!B40</f>
        <v>Total Assets</v>
      </c>
      <c r="C7" s="16">
        <f>'Balance Sheet'!C40</f>
        <v>816333</v>
      </c>
      <c r="D7" s="16">
        <f>'Balance Sheet'!D40</f>
        <v>1063491</v>
      </c>
      <c r="E7" s="16">
        <f>'Balance Sheet'!E40</f>
        <v>1342763</v>
      </c>
      <c r="F7" s="16">
        <f>'Balance Sheet'!F40</f>
        <v>1388260</v>
      </c>
      <c r="G7" s="16">
        <f>'Balance Sheet'!G40</f>
        <v>1669413</v>
      </c>
    </row>
    <row r="8" spans="2:7" ht="18.75" x14ac:dyDescent="0.25">
      <c r="B8" s="17" t="s">
        <v>161</v>
      </c>
      <c r="C8" s="27">
        <f>ROUND(C6/ C7, 2)</f>
        <v>0.12</v>
      </c>
      <c r="D8" s="27">
        <f t="shared" ref="D8:G8" si="0">ROUND(D6/ D7, 2)</f>
        <v>0.15</v>
      </c>
      <c r="E8" s="27">
        <f t="shared" si="0"/>
        <v>0.14000000000000001</v>
      </c>
      <c r="F8" s="27">
        <f t="shared" si="0"/>
        <v>0.1</v>
      </c>
      <c r="G8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765C1-D0AE-44F6-95C1-40146D373C62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117437</v>
      </c>
      <c r="D6" s="16">
        <f>'Income Statement'!D19</f>
        <v>190869</v>
      </c>
      <c r="E6" s="16">
        <f>'Income Statement'!E19</f>
        <v>222186</v>
      </c>
      <c r="F6" s="16">
        <f>'Income Statement'!F19</f>
        <v>162289</v>
      </c>
      <c r="G6" s="16">
        <f>'Income Statement'!G19</f>
        <v>209738</v>
      </c>
    </row>
    <row r="7" spans="2:7" ht="18.75" x14ac:dyDescent="0.25">
      <c r="B7" s="15" t="str">
        <f>'Balance Sheet'!B13</f>
        <v>Total Debt</v>
      </c>
      <c r="C7" s="16">
        <f>'Balance Sheet'!C13</f>
        <v>211222</v>
      </c>
      <c r="D7" s="16">
        <f>'Balance Sheet'!D13</f>
        <v>321865</v>
      </c>
      <c r="E7" s="16">
        <f>'Balance Sheet'!E13</f>
        <v>345540</v>
      </c>
      <c r="F7" s="16">
        <f>'Balance Sheet'!F13</f>
        <v>260765</v>
      </c>
      <c r="G7" s="16">
        <f>'Balance Sheet'!G13</f>
        <v>315949</v>
      </c>
    </row>
    <row r="8" spans="2:7" ht="18.75" x14ac:dyDescent="0.25">
      <c r="B8" s="15" t="str">
        <f>'Balance Sheet'!B9</f>
        <v>Net Worth</v>
      </c>
      <c r="C8" s="16">
        <f>'Balance Sheet'!C9</f>
        <v>293491</v>
      </c>
      <c r="D8" s="16">
        <f>'Balance Sheet'!D9</f>
        <v>448197</v>
      </c>
      <c r="E8" s="16">
        <f>'Balance Sheet'!E9</f>
        <v>626015</v>
      </c>
      <c r="F8" s="16">
        <f>'Balance Sheet'!F9</f>
        <v>767220</v>
      </c>
      <c r="G8" s="16">
        <f>'Balance Sheet'!G9</f>
        <v>949233</v>
      </c>
    </row>
    <row r="9" spans="2:7" ht="18.75" x14ac:dyDescent="0.25">
      <c r="B9" s="17" t="s">
        <v>163</v>
      </c>
      <c r="C9" s="27">
        <f>ROUND(C6/ (C7+ C7), 2)</f>
        <v>0.28000000000000003</v>
      </c>
      <c r="D9" s="27">
        <f t="shared" ref="D9:G9" si="0">ROUND(D6/ (D7+ D7), 2)</f>
        <v>0.3</v>
      </c>
      <c r="E9" s="27">
        <f t="shared" si="0"/>
        <v>0.32</v>
      </c>
      <c r="F9" s="27">
        <f t="shared" si="0"/>
        <v>0.31</v>
      </c>
      <c r="G9" s="27">
        <f t="shared" si="0"/>
        <v>0.33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5F5437-33F1-4CD0-9802-EE227AB7E7E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96039</v>
      </c>
      <c r="D6" s="16">
        <f>'Income Statement'!D27</f>
        <v>158984</v>
      </c>
      <c r="E6" s="16">
        <f>'Income Statement'!E27</f>
        <v>181989</v>
      </c>
      <c r="F6" s="16">
        <f>'Income Statement'!F27</f>
        <v>145020</v>
      </c>
      <c r="G6" s="16">
        <f>'Income Statement'!G27</f>
        <v>181693</v>
      </c>
    </row>
    <row r="7" spans="2:7" ht="18.75" x14ac:dyDescent="0.25">
      <c r="B7" s="15" t="str">
        <f>'Balance Sheet'!B9</f>
        <v>Net Worth</v>
      </c>
      <c r="C7" s="16">
        <f>'Balance Sheet'!C9</f>
        <v>293491</v>
      </c>
      <c r="D7" s="16">
        <f>'Balance Sheet'!D9</f>
        <v>448197</v>
      </c>
      <c r="E7" s="16">
        <f>'Balance Sheet'!E9</f>
        <v>626015</v>
      </c>
      <c r="F7" s="16">
        <f>'Balance Sheet'!F9</f>
        <v>767220</v>
      </c>
      <c r="G7" s="16">
        <f>'Balance Sheet'!G9</f>
        <v>949233</v>
      </c>
    </row>
    <row r="8" spans="2:7" ht="18.75" x14ac:dyDescent="0.25">
      <c r="B8" s="17" t="s">
        <v>165</v>
      </c>
      <c r="C8" s="27">
        <f>ROUND(C6/ (C7+ C7), 2)</f>
        <v>0.16</v>
      </c>
      <c r="D8" s="27">
        <f t="shared" ref="D8:G8" si="0">ROUND(D6/ (D7+ D7), 2)</f>
        <v>0.18</v>
      </c>
      <c r="E8" s="27">
        <f t="shared" si="0"/>
        <v>0.15</v>
      </c>
      <c r="F8" s="27">
        <f t="shared" si="0"/>
        <v>0.09</v>
      </c>
      <c r="G8" s="27">
        <f t="shared" si="0"/>
        <v>0.1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631E4-0D26-4172-9551-9E529EB71CC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211222</v>
      </c>
      <c r="D6" s="16">
        <f>'Balance Sheet'!D13</f>
        <v>321865</v>
      </c>
      <c r="E6" s="16">
        <f>'Balance Sheet'!E13</f>
        <v>345540</v>
      </c>
      <c r="F6" s="16">
        <f>'Balance Sheet'!F13</f>
        <v>260765</v>
      </c>
      <c r="G6" s="16">
        <f>'Balance Sheet'!G13</f>
        <v>315949</v>
      </c>
    </row>
    <row r="7" spans="2:7" ht="18.75" x14ac:dyDescent="0.25">
      <c r="B7" s="15" t="str">
        <f>'Balance Sheet'!B9</f>
        <v>Net Worth</v>
      </c>
      <c r="C7" s="16">
        <f>'Balance Sheet'!C9</f>
        <v>293491</v>
      </c>
      <c r="D7" s="16">
        <f>'Balance Sheet'!D9</f>
        <v>448197</v>
      </c>
      <c r="E7" s="16">
        <f>'Balance Sheet'!E9</f>
        <v>626015</v>
      </c>
      <c r="F7" s="16">
        <f>'Balance Sheet'!F9</f>
        <v>767220</v>
      </c>
      <c r="G7" s="16">
        <f>'Balance Sheet'!G9</f>
        <v>949233</v>
      </c>
    </row>
    <row r="8" spans="2:7" ht="18.75" x14ac:dyDescent="0.25">
      <c r="B8" s="17" t="s">
        <v>167</v>
      </c>
      <c r="C8" s="17">
        <f>ROUND(C6/ C7, 2)</f>
        <v>0.72</v>
      </c>
      <c r="D8" s="17">
        <f t="shared" ref="D8:G8" si="0">ROUND(D6/ D7, 2)</f>
        <v>0.72</v>
      </c>
      <c r="E8" s="17">
        <f t="shared" si="0"/>
        <v>0.55000000000000004</v>
      </c>
      <c r="F8" s="17">
        <f t="shared" si="0"/>
        <v>0.34</v>
      </c>
      <c r="G8" s="17">
        <f t="shared" si="0"/>
        <v>0.33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79CC9-0D2F-41B8-A23A-57A64C01F07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142579</v>
      </c>
      <c r="D6" s="16">
        <f>'Balance Sheet'!D39</f>
        <v>312235</v>
      </c>
      <c r="E6" s="16">
        <f>'Balance Sheet'!E39</f>
        <v>527638</v>
      </c>
      <c r="F6" s="16">
        <f>'Balance Sheet'!F39</f>
        <v>490924</v>
      </c>
      <c r="G6" s="16">
        <f>'Balance Sheet'!G39</f>
        <v>587360</v>
      </c>
    </row>
    <row r="7" spans="2:7" ht="18.75" x14ac:dyDescent="0.25">
      <c r="B7" s="15" t="str">
        <f>'Balance Sheet'!B19</f>
        <v>Total Current Liabilities</v>
      </c>
      <c r="C7" s="16">
        <f>'Balance Sheet'!C19</f>
        <v>308081</v>
      </c>
      <c r="D7" s="16">
        <f>'Balance Sheet'!D19</f>
        <v>285149</v>
      </c>
      <c r="E7" s="16">
        <f>'Balance Sheet'!E19</f>
        <v>359027</v>
      </c>
      <c r="F7" s="16">
        <f>'Balance Sheet'!F19</f>
        <v>261015</v>
      </c>
      <c r="G7" s="16">
        <f>'Balance Sheet'!G19</f>
        <v>294732</v>
      </c>
    </row>
    <row r="8" spans="2:7" ht="18.75" x14ac:dyDescent="0.25">
      <c r="B8" s="17" t="s">
        <v>169</v>
      </c>
      <c r="C8" s="17">
        <f>ROUND(C6/ C7, 2)</f>
        <v>0.46</v>
      </c>
      <c r="D8" s="17">
        <f t="shared" ref="D8:G8" si="0">ROUND(D6/ D7, 2)</f>
        <v>1.0900000000000001</v>
      </c>
      <c r="E8" s="17">
        <f t="shared" si="0"/>
        <v>1.47</v>
      </c>
      <c r="F8" s="17">
        <f t="shared" si="0"/>
        <v>1.88</v>
      </c>
      <c r="G8" s="17">
        <f t="shared" si="0"/>
        <v>1.99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63D-D42B-4BEC-B158-B3375FAFDFF6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142579</v>
      </c>
      <c r="D6" s="16">
        <f>'Balance Sheet'!D39</f>
        <v>312235</v>
      </c>
      <c r="E6" s="16">
        <f>'Balance Sheet'!E39</f>
        <v>527638</v>
      </c>
      <c r="F6" s="16">
        <f>'Balance Sheet'!F39</f>
        <v>490924</v>
      </c>
      <c r="G6" s="16">
        <f>'Balance Sheet'!G39</f>
        <v>587360</v>
      </c>
    </row>
    <row r="7" spans="2:7" ht="18.75" x14ac:dyDescent="0.25">
      <c r="B7" s="15" t="str">
        <f>'Balance Sheet'!B36</f>
        <v>Inventories</v>
      </c>
      <c r="C7" s="16">
        <f>'Balance Sheet'!C36</f>
        <v>60837</v>
      </c>
      <c r="D7" s="16">
        <f>'Balance Sheet'!D36</f>
        <v>67561</v>
      </c>
      <c r="E7" s="16">
        <f>'Balance Sheet'!E36</f>
        <v>73903</v>
      </c>
      <c r="F7" s="16">
        <f>'Balance Sheet'!F36</f>
        <v>81672</v>
      </c>
      <c r="G7" s="16">
        <f>'Balance Sheet'!G36</f>
        <v>107778</v>
      </c>
    </row>
    <row r="8" spans="2:7" ht="18.75" x14ac:dyDescent="0.25">
      <c r="B8" s="15" t="str">
        <f>'Balance Sheet'!B19</f>
        <v>Total Current Liabilities</v>
      </c>
      <c r="C8" s="16">
        <f>'Balance Sheet'!C19</f>
        <v>308081</v>
      </c>
      <c r="D8" s="16">
        <f>'Balance Sheet'!D19</f>
        <v>285149</v>
      </c>
      <c r="E8" s="16">
        <f>'Balance Sheet'!E19</f>
        <v>359027</v>
      </c>
      <c r="F8" s="16">
        <f>'Balance Sheet'!F19</f>
        <v>261015</v>
      </c>
      <c r="G8" s="16">
        <f>'Balance Sheet'!G19</f>
        <v>294732</v>
      </c>
    </row>
    <row r="9" spans="2:7" ht="18.75" x14ac:dyDescent="0.25">
      <c r="B9" s="17" t="s">
        <v>171</v>
      </c>
      <c r="C9" s="17">
        <f>ROUND((C6-C7)/ C8, 2)</f>
        <v>0.27</v>
      </c>
      <c r="D9" s="17">
        <f t="shared" ref="D9:G9" si="0">ROUND((D6-D7)/ D8, 2)</f>
        <v>0.86</v>
      </c>
      <c r="E9" s="17">
        <f t="shared" si="0"/>
        <v>1.26</v>
      </c>
      <c r="F9" s="17">
        <f t="shared" si="0"/>
        <v>1.57</v>
      </c>
      <c r="G9" s="17">
        <f t="shared" si="0"/>
        <v>1.63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FE554-DA1F-421C-BC95-597CA108D514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430731</v>
      </c>
      <c r="D5" s="2">
        <v>625212</v>
      </c>
      <c r="E5" s="2">
        <v>659997</v>
      </c>
      <c r="F5" s="2">
        <v>539238</v>
      </c>
      <c r="G5" s="2">
        <v>721634</v>
      </c>
      <c r="H5" t="s">
        <v>1</v>
      </c>
    </row>
    <row r="6" spans="1:8" x14ac:dyDescent="0.25">
      <c r="A6" t="s">
        <v>98</v>
      </c>
      <c r="B6" t="s">
        <v>98</v>
      </c>
      <c r="C6">
        <v>39054</v>
      </c>
      <c r="D6" s="2">
        <v>56003</v>
      </c>
      <c r="E6" s="2">
        <v>62462</v>
      </c>
      <c r="F6" s="2">
        <v>72314</v>
      </c>
      <c r="G6" s="2">
        <v>0</v>
      </c>
      <c r="H6" t="s">
        <v>1</v>
      </c>
    </row>
    <row r="7" spans="1:8" x14ac:dyDescent="0.25">
      <c r="B7" t="s">
        <v>57</v>
      </c>
      <c r="C7" s="2">
        <v>391677</v>
      </c>
      <c r="D7" s="2">
        <v>569209</v>
      </c>
      <c r="E7" s="2">
        <v>597535</v>
      </c>
      <c r="F7" s="2">
        <v>466924</v>
      </c>
      <c r="G7" s="2">
        <v>721634</v>
      </c>
      <c r="H7" t="s">
        <v>1</v>
      </c>
    </row>
    <row r="8" spans="1:8" x14ac:dyDescent="0.25">
      <c r="B8" t="s">
        <v>58</v>
      </c>
      <c r="C8" s="2">
        <v>391677</v>
      </c>
      <c r="D8" s="2">
        <v>569209</v>
      </c>
      <c r="E8" s="2">
        <v>597535</v>
      </c>
      <c r="F8" s="2">
        <v>466924</v>
      </c>
      <c r="G8" s="2">
        <v>721634</v>
      </c>
      <c r="H8" t="s">
        <v>1</v>
      </c>
    </row>
    <row r="9" spans="1:8" x14ac:dyDescent="0.25">
      <c r="A9" t="s">
        <v>59</v>
      </c>
      <c r="B9" t="s">
        <v>59</v>
      </c>
      <c r="C9" s="2">
        <v>9949</v>
      </c>
      <c r="D9" s="2">
        <v>8386</v>
      </c>
      <c r="E9" s="2">
        <v>13164</v>
      </c>
      <c r="F9" s="2">
        <v>16327</v>
      </c>
      <c r="G9" s="2">
        <v>14947</v>
      </c>
      <c r="H9" t="s">
        <v>1</v>
      </c>
    </row>
    <row r="10" spans="1:8" x14ac:dyDescent="0.25">
      <c r="B10" t="s">
        <v>60</v>
      </c>
      <c r="C10" s="2">
        <v>401626</v>
      </c>
      <c r="D10" s="2">
        <v>577595</v>
      </c>
      <c r="E10" s="2">
        <v>610699</v>
      </c>
      <c r="F10" s="2">
        <v>483251</v>
      </c>
      <c r="G10" s="2">
        <v>736581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207448</v>
      </c>
      <c r="D12" s="2">
        <v>275237</v>
      </c>
      <c r="E12" s="2">
        <v>260621</v>
      </c>
      <c r="F12" s="2">
        <v>199915</v>
      </c>
      <c r="G12" s="2">
        <v>360784</v>
      </c>
      <c r="H12" t="s">
        <v>1</v>
      </c>
    </row>
    <row r="13" spans="1:8" x14ac:dyDescent="0.25">
      <c r="B13" t="s">
        <v>63</v>
      </c>
      <c r="C13" s="2">
        <v>68628</v>
      </c>
      <c r="D13" s="2">
        <v>123930</v>
      </c>
      <c r="E13" s="2">
        <v>149667</v>
      </c>
      <c r="F13" s="2">
        <v>101850</v>
      </c>
      <c r="G13" s="2">
        <v>135585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 s="2">
        <v>28360</v>
      </c>
      <c r="E14" s="2">
        <v>24155</v>
      </c>
      <c r="F14" s="2">
        <v>19978</v>
      </c>
      <c r="G14">
        <v>0</v>
      </c>
      <c r="H14" t="s">
        <v>1</v>
      </c>
    </row>
    <row r="15" spans="1:8" x14ac:dyDescent="0.25">
      <c r="B15" t="s">
        <v>65</v>
      </c>
      <c r="C15" s="2">
        <v>-8610</v>
      </c>
      <c r="D15" s="2">
        <v>-4680</v>
      </c>
      <c r="E15" s="2">
        <v>-5048</v>
      </c>
      <c r="F15" s="2">
        <v>-9064</v>
      </c>
      <c r="G15" s="2">
        <v>-21457</v>
      </c>
      <c r="H15" t="s">
        <v>1</v>
      </c>
    </row>
    <row r="16" spans="1:8" x14ac:dyDescent="0.25">
      <c r="A16" t="s">
        <v>99</v>
      </c>
      <c r="B16" t="s">
        <v>66</v>
      </c>
      <c r="C16" s="2">
        <v>9523</v>
      </c>
      <c r="D16" s="2">
        <v>12488</v>
      </c>
      <c r="E16" s="2">
        <v>14075</v>
      </c>
      <c r="F16" s="2">
        <v>14817</v>
      </c>
      <c r="G16" s="2">
        <v>18775</v>
      </c>
      <c r="H16" t="s">
        <v>1</v>
      </c>
    </row>
    <row r="17" spans="1:8" x14ac:dyDescent="0.25">
      <c r="A17" t="s">
        <v>100</v>
      </c>
      <c r="B17" t="s">
        <v>67</v>
      </c>
      <c r="C17" s="2">
        <v>8052</v>
      </c>
      <c r="D17" s="2">
        <v>16495</v>
      </c>
      <c r="E17" s="2">
        <v>22027</v>
      </c>
      <c r="F17" s="2">
        <v>21189</v>
      </c>
      <c r="G17" s="2">
        <v>14584</v>
      </c>
      <c r="H17" t="s">
        <v>1</v>
      </c>
    </row>
    <row r="18" spans="1:8" x14ac:dyDescent="0.25">
      <c r="A18" t="s">
        <v>101</v>
      </c>
      <c r="B18" t="s">
        <v>68</v>
      </c>
      <c r="C18" s="2">
        <v>16706</v>
      </c>
      <c r="D18" s="2">
        <v>20934</v>
      </c>
      <c r="E18" s="2">
        <v>22203</v>
      </c>
      <c r="F18" s="2">
        <v>26572</v>
      </c>
      <c r="G18" s="2">
        <v>29797</v>
      </c>
      <c r="H18" t="s">
        <v>1</v>
      </c>
    </row>
    <row r="19" spans="1:8" x14ac:dyDescent="0.25">
      <c r="A19" t="s">
        <v>99</v>
      </c>
      <c r="B19" t="s">
        <v>69</v>
      </c>
      <c r="C19" s="2">
        <v>50512</v>
      </c>
      <c r="D19" s="2">
        <v>49707</v>
      </c>
      <c r="E19" s="2">
        <v>67459</v>
      </c>
      <c r="F19" s="2">
        <v>59680</v>
      </c>
      <c r="G19" s="2">
        <v>117487</v>
      </c>
      <c r="H19" t="s">
        <v>1</v>
      </c>
    </row>
    <row r="20" spans="1:8" x14ac:dyDescent="0.25">
      <c r="B20" t="s">
        <v>70</v>
      </c>
      <c r="C20" s="2">
        <v>352259</v>
      </c>
      <c r="D20" s="2">
        <v>522471</v>
      </c>
      <c r="E20" s="2">
        <v>552756</v>
      </c>
      <c r="F20" s="2">
        <v>433948</v>
      </c>
      <c r="G20" s="2">
        <v>655555</v>
      </c>
      <c r="H20" t="s">
        <v>1</v>
      </c>
    </row>
    <row r="21" spans="1:8" x14ac:dyDescent="0.25">
      <c r="B21" t="s">
        <v>71</v>
      </c>
      <c r="C21" s="2">
        <v>49367</v>
      </c>
      <c r="D21" s="2">
        <v>55124</v>
      </c>
      <c r="E21" s="2">
        <v>57943</v>
      </c>
      <c r="F21" s="2">
        <v>49303</v>
      </c>
      <c r="G21" s="2">
        <v>81026</v>
      </c>
      <c r="H21" t="s">
        <v>1</v>
      </c>
    </row>
    <row r="22" spans="1:8" x14ac:dyDescent="0.25">
      <c r="A22" t="s">
        <v>102</v>
      </c>
      <c r="B22" t="s">
        <v>72</v>
      </c>
      <c r="C22" s="2">
        <v>0</v>
      </c>
      <c r="D22" s="2">
        <v>0</v>
      </c>
      <c r="E22" s="2">
        <v>-4444</v>
      </c>
      <c r="F22">
        <v>5642</v>
      </c>
      <c r="G22">
        <v>2836</v>
      </c>
      <c r="H22" t="s">
        <v>1</v>
      </c>
    </row>
    <row r="23" spans="1:8" x14ac:dyDescent="0.25">
      <c r="B23" t="s">
        <v>73</v>
      </c>
      <c r="C23" s="2">
        <v>49367</v>
      </c>
      <c r="D23" s="2">
        <v>55124</v>
      </c>
      <c r="E23" s="2">
        <v>53499</v>
      </c>
      <c r="F23" s="2">
        <v>54945</v>
      </c>
      <c r="G23" s="2">
        <v>83862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10098</v>
      </c>
      <c r="D25" s="2">
        <v>11683</v>
      </c>
      <c r="E25" s="2">
        <v>8630</v>
      </c>
      <c r="F25" s="2">
        <v>2205</v>
      </c>
      <c r="G25" s="2">
        <v>16297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3248</v>
      </c>
      <c r="D27">
        <v>3707</v>
      </c>
      <c r="E27" s="2">
        <v>5096</v>
      </c>
      <c r="F27" s="2">
        <v>-483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13346</v>
      </c>
      <c r="D29" s="2">
        <v>15390</v>
      </c>
      <c r="E29" s="2">
        <v>13726</v>
      </c>
      <c r="F29" s="2">
        <v>1722</v>
      </c>
      <c r="G29" s="2">
        <v>16297</v>
      </c>
      <c r="H29" t="s">
        <v>1</v>
      </c>
    </row>
    <row r="30" spans="1:8" x14ac:dyDescent="0.25">
      <c r="B30" t="s">
        <v>80</v>
      </c>
      <c r="C30" s="2">
        <v>36021</v>
      </c>
      <c r="D30" s="2">
        <v>39734</v>
      </c>
      <c r="E30" s="2">
        <v>39773</v>
      </c>
      <c r="F30" s="2">
        <v>53223</v>
      </c>
      <c r="G30" s="2">
        <v>67565</v>
      </c>
      <c r="H30" t="s">
        <v>1</v>
      </c>
    </row>
    <row r="31" spans="1:8" x14ac:dyDescent="0.25">
      <c r="B31" t="s">
        <v>81</v>
      </c>
      <c r="C31" s="2">
        <v>36021</v>
      </c>
      <c r="D31" s="2">
        <v>39734</v>
      </c>
      <c r="E31" s="2">
        <v>39773</v>
      </c>
      <c r="F31" s="2">
        <v>53223</v>
      </c>
      <c r="G31" s="2">
        <v>67565</v>
      </c>
      <c r="H31" t="s">
        <v>1</v>
      </c>
    </row>
    <row r="32" spans="1:8" x14ac:dyDescent="0.25">
      <c r="B32" t="s">
        <v>82</v>
      </c>
      <c r="C32" s="2">
        <v>36021</v>
      </c>
      <c r="D32" s="2">
        <v>39734</v>
      </c>
      <c r="E32" s="2">
        <v>39773</v>
      </c>
      <c r="F32" s="2">
        <v>53223</v>
      </c>
      <c r="G32" s="2">
        <v>67565</v>
      </c>
      <c r="H32" t="s">
        <v>1</v>
      </c>
    </row>
    <row r="33" spans="1:8" x14ac:dyDescent="0.25">
      <c r="B33" t="s">
        <v>10</v>
      </c>
      <c r="C33" s="2">
        <v>-5</v>
      </c>
      <c r="D33" s="2">
        <v>-249</v>
      </c>
      <c r="E33">
        <v>-526</v>
      </c>
      <c r="F33">
        <v>-4611</v>
      </c>
      <c r="G33">
        <v>-7140</v>
      </c>
      <c r="H33" t="s">
        <v>1</v>
      </c>
    </row>
    <row r="34" spans="1:8" x14ac:dyDescent="0.25">
      <c r="B34" t="s">
        <v>83</v>
      </c>
      <c r="C34" s="2">
        <v>36075</v>
      </c>
      <c r="D34" s="2">
        <v>39588</v>
      </c>
      <c r="E34" s="2">
        <v>39354</v>
      </c>
      <c r="F34" s="2">
        <v>49128</v>
      </c>
      <c r="G34" s="2">
        <v>60705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61</v>
      </c>
      <c r="D37">
        <v>67</v>
      </c>
      <c r="E37">
        <v>63</v>
      </c>
      <c r="F37">
        <v>76</v>
      </c>
      <c r="G37">
        <v>92</v>
      </c>
      <c r="H37" t="s">
        <v>1</v>
      </c>
    </row>
    <row r="38" spans="1:8" x14ac:dyDescent="0.25">
      <c r="B38" t="s">
        <v>86</v>
      </c>
      <c r="C38">
        <v>61</v>
      </c>
      <c r="D38">
        <v>67</v>
      </c>
      <c r="E38">
        <v>63</v>
      </c>
      <c r="F38">
        <v>75</v>
      </c>
      <c r="G38">
        <v>91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3255</v>
      </c>
      <c r="D40" s="2">
        <v>3554</v>
      </c>
      <c r="E40" s="2">
        <v>3852</v>
      </c>
      <c r="F40" s="2">
        <v>3921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661</v>
      </c>
      <c r="D41">
        <v>728</v>
      </c>
      <c r="E41">
        <v>732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1B6B1-066C-487F-B579-358390EDD9F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117437</v>
      </c>
      <c r="D6" s="16">
        <f>'Income Statement'!D19</f>
        <v>190869</v>
      </c>
      <c r="E6" s="16">
        <f>'Income Statement'!E19</f>
        <v>222186</v>
      </c>
      <c r="F6" s="16">
        <f>'Income Statement'!F19</f>
        <v>162289</v>
      </c>
      <c r="G6" s="16">
        <f>'Income Statement'!G19</f>
        <v>209738</v>
      </c>
    </row>
    <row r="7" spans="2:7" ht="18.75" x14ac:dyDescent="0.25">
      <c r="B7" s="15" t="str">
        <f>'Income Statement'!B20</f>
        <v>Finance Costs</v>
      </c>
      <c r="C7" s="16">
        <f>'Income Statement'!C20</f>
        <v>8052</v>
      </c>
      <c r="D7" s="16">
        <f>'Income Statement'!D20</f>
        <v>16495</v>
      </c>
      <c r="E7" s="16">
        <f>'Income Statement'!E20</f>
        <v>22027</v>
      </c>
      <c r="F7" s="16">
        <f>'Income Statement'!F20</f>
        <v>21189</v>
      </c>
      <c r="G7" s="16">
        <f>'Income Statement'!G20</f>
        <v>14584</v>
      </c>
    </row>
    <row r="8" spans="2:7" ht="18.75" x14ac:dyDescent="0.25">
      <c r="B8" s="17" t="s">
        <v>173</v>
      </c>
      <c r="C8" s="17">
        <f>ROUND(C6/C7, 2)</f>
        <v>14.58</v>
      </c>
      <c r="D8" s="17">
        <f t="shared" ref="D8:G8" si="0">ROUND(D6/D7, 2)</f>
        <v>11.57</v>
      </c>
      <c r="E8" s="17">
        <f t="shared" si="0"/>
        <v>10.09</v>
      </c>
      <c r="F8" s="17">
        <f t="shared" si="0"/>
        <v>7.66</v>
      </c>
      <c r="G8" s="17">
        <f t="shared" si="0"/>
        <v>14.38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2ACD6-C023-4884-BA0B-8EF0ADA0EF8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207448</v>
      </c>
      <c r="D6" s="16">
        <f>'Income Statement'!D11</f>
        <v>275237</v>
      </c>
      <c r="E6" s="16">
        <f>'Income Statement'!E11</f>
        <v>260621</v>
      </c>
      <c r="F6" s="16">
        <f>'Income Statement'!F11</f>
        <v>199915</v>
      </c>
      <c r="G6" s="16">
        <f>'Income Statement'!G11</f>
        <v>360784</v>
      </c>
    </row>
    <row r="7" spans="2:7" ht="18.75" x14ac:dyDescent="0.25">
      <c r="B7" s="15" t="str">
        <f>'Income Statement'!B7</f>
        <v>Net Sales</v>
      </c>
      <c r="C7" s="16">
        <f>'Income Statement'!C7</f>
        <v>391677</v>
      </c>
      <c r="D7" s="16">
        <f>'Income Statement'!D7</f>
        <v>569209</v>
      </c>
      <c r="E7" s="16">
        <f>'Income Statement'!E7</f>
        <v>597535</v>
      </c>
      <c r="F7" s="16">
        <f>'Income Statement'!F7</f>
        <v>466924</v>
      </c>
      <c r="G7" s="16">
        <f>'Income Statement'!G7</f>
        <v>721634</v>
      </c>
    </row>
    <row r="8" spans="2:7" ht="18.75" x14ac:dyDescent="0.25">
      <c r="B8" s="17" t="s">
        <v>175</v>
      </c>
      <c r="C8" s="17">
        <f>ROUND(C6/C7, 2)</f>
        <v>0.53</v>
      </c>
      <c r="D8" s="17">
        <f t="shared" ref="D8:G8" si="0">ROUND(D6/D7, 2)</f>
        <v>0.48</v>
      </c>
      <c r="E8" s="17">
        <f t="shared" si="0"/>
        <v>0.44</v>
      </c>
      <c r="F8" s="17">
        <f t="shared" si="0"/>
        <v>0.43</v>
      </c>
      <c r="G8" s="17">
        <f t="shared" si="0"/>
        <v>0.5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008007-0036-4CFE-BEA5-61415CBD5CD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4255</v>
      </c>
      <c r="D6" s="16">
        <f>'Balance Sheet'!D38</f>
        <v>134382</v>
      </c>
      <c r="E6" s="16">
        <f>'Balance Sheet'!E38</f>
        <v>311174</v>
      </c>
      <c r="F6" s="16">
        <f>'Balance Sheet'!F38</f>
        <v>219148</v>
      </c>
      <c r="G6" s="16">
        <f>'Balance Sheet'!G38</f>
        <v>318441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207448</v>
      </c>
      <c r="D7" s="16">
        <f>'Income Statement'!D11</f>
        <v>275237</v>
      </c>
      <c r="E7" s="16">
        <f>'Income Statement'!E11</f>
        <v>260621</v>
      </c>
      <c r="F7" s="16">
        <f>'Income Statement'!F11</f>
        <v>199915</v>
      </c>
      <c r="G7" s="16">
        <f>'Income Statement'!G11</f>
        <v>360784</v>
      </c>
    </row>
    <row r="8" spans="2:7" ht="18.75" x14ac:dyDescent="0.25">
      <c r="B8" s="17" t="s">
        <v>177</v>
      </c>
      <c r="C8" s="17">
        <f>ROUND(C6/C7*365, 2)</f>
        <v>7.49</v>
      </c>
      <c r="D8" s="17">
        <f t="shared" ref="D8:G8" si="0">ROUND(D6/D7*365, 2)</f>
        <v>178.21</v>
      </c>
      <c r="E8" s="17">
        <f t="shared" si="0"/>
        <v>435.8</v>
      </c>
      <c r="F8" s="17">
        <f t="shared" si="0"/>
        <v>400.12</v>
      </c>
      <c r="G8" s="17">
        <f t="shared" si="0"/>
        <v>322.16000000000003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0118B-62F4-46EE-809C-CEB92590A85F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1.57031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4255</v>
      </c>
      <c r="D6" s="16">
        <f>'Balance Sheet'!D38</f>
        <v>134382</v>
      </c>
      <c r="E6" s="16">
        <f>'Balance Sheet'!E38</f>
        <v>311174</v>
      </c>
      <c r="F6" s="16">
        <f>'Balance Sheet'!F38</f>
        <v>219148</v>
      </c>
      <c r="G6" s="16">
        <f>'Balance Sheet'!G38</f>
        <v>318441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4255</v>
      </c>
      <c r="D8" s="17">
        <f t="shared" ref="D8:G8" si="0">ROUND(D6/D7*365, 2)</f>
        <v>134382</v>
      </c>
      <c r="E8" s="17">
        <f t="shared" si="0"/>
        <v>311174</v>
      </c>
      <c r="F8" s="17">
        <f t="shared" si="0"/>
        <v>219148</v>
      </c>
      <c r="G8" s="17">
        <f t="shared" si="0"/>
        <v>318441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C81779-0AA7-4B7E-B483-1E6E0DB1F2A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3" width="14.85546875" bestFit="1" customWidth="1"/>
    <col min="4" max="7" width="16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Sheet'!B40</f>
        <v>Total Assets</v>
      </c>
      <c r="C7" s="16">
        <f>'Balance Sheet'!C40</f>
        <v>816333</v>
      </c>
      <c r="D7" s="16">
        <f>'Balance Sheet'!D40</f>
        <v>1063491</v>
      </c>
      <c r="E7" s="16">
        <f>'Balance Sheet'!E40</f>
        <v>1342763</v>
      </c>
      <c r="F7" s="16">
        <f>'Balance Sheet'!F40</f>
        <v>1388260</v>
      </c>
      <c r="G7" s="16">
        <f>'Balance Sheet'!G40</f>
        <v>1669413</v>
      </c>
    </row>
    <row r="8" spans="2:7" ht="18.75" x14ac:dyDescent="0.25">
      <c r="B8" s="17" t="s">
        <v>182</v>
      </c>
      <c r="C8" s="17">
        <f>ROUND(C6/C7, 2)</f>
        <v>0.53</v>
      </c>
      <c r="D8" s="17">
        <f t="shared" ref="D8:G8" si="0">ROUND(D6/D7, 2)</f>
        <v>0.59</v>
      </c>
      <c r="E8" s="17">
        <f t="shared" si="0"/>
        <v>0.49</v>
      </c>
      <c r="F8" s="17">
        <f t="shared" si="0"/>
        <v>0.39</v>
      </c>
      <c r="G8" s="17">
        <f t="shared" si="0"/>
        <v>0.43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41BD8-7D3C-412F-8917-DCA7CD9EAF3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Sheet'!B36</f>
        <v>Inventories</v>
      </c>
      <c r="C7" s="16">
        <f>'Balance Sheet'!C36</f>
        <v>60837</v>
      </c>
      <c r="D7" s="16">
        <f>'Balance Sheet'!D36</f>
        <v>67561</v>
      </c>
      <c r="E7" s="16">
        <f>'Balance Sheet'!E36</f>
        <v>73903</v>
      </c>
      <c r="F7" s="16">
        <f>'Balance Sheet'!F36</f>
        <v>81672</v>
      </c>
      <c r="G7" s="16">
        <f>'Balance Sheet'!G36</f>
        <v>107778</v>
      </c>
    </row>
    <row r="8" spans="2:7" ht="18.75" x14ac:dyDescent="0.25">
      <c r="B8" s="17" t="s">
        <v>184</v>
      </c>
      <c r="C8" s="17">
        <f>ROUND(C6/C7, 2)</f>
        <v>7.08</v>
      </c>
      <c r="D8" s="17">
        <f t="shared" ref="D8:G8" si="0">ROUND(D6/D7, 2)</f>
        <v>9.25</v>
      </c>
      <c r="E8" s="17">
        <f t="shared" si="0"/>
        <v>8.93</v>
      </c>
      <c r="F8" s="17">
        <f t="shared" si="0"/>
        <v>6.6</v>
      </c>
      <c r="G8" s="17">
        <f t="shared" si="0"/>
        <v>6.7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5F4C6-5556-40FE-A56C-FD3D6B837D4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Sheet'!B37</f>
        <v>Trade Receivables</v>
      </c>
      <c r="C7" s="16">
        <f>'Balance Sheet'!C37</f>
        <v>17555</v>
      </c>
      <c r="D7" s="16">
        <f>'Balance Sheet'!D37</f>
        <v>30089</v>
      </c>
      <c r="E7" s="16">
        <f>'Balance Sheet'!E37</f>
        <v>19656</v>
      </c>
      <c r="F7" s="16">
        <f>'Balance Sheet'!F37</f>
        <v>19014</v>
      </c>
      <c r="G7" s="16">
        <f>'Balance Sheet'!G37</f>
        <v>23640</v>
      </c>
    </row>
    <row r="8" spans="2:7" ht="18.75" x14ac:dyDescent="0.25">
      <c r="B8" s="17" t="s">
        <v>186</v>
      </c>
      <c r="C8" s="17">
        <f>ROUND(C6/C7, 2)</f>
        <v>24.54</v>
      </c>
      <c r="D8" s="17">
        <f t="shared" ref="D8:G8" si="0">ROUND(D6/D7, 2)</f>
        <v>20.78</v>
      </c>
      <c r="E8" s="17">
        <f t="shared" si="0"/>
        <v>33.58</v>
      </c>
      <c r="F8" s="17">
        <f t="shared" si="0"/>
        <v>28.36</v>
      </c>
      <c r="G8" s="17">
        <f t="shared" si="0"/>
        <v>30.53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01202-CAC2-462B-B3CE-7C7C45B181C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Sheet'!B23</f>
        <v>Tangible Assets</v>
      </c>
      <c r="C7" s="16">
        <f>'Balance Sheet'!C23</f>
        <v>316031</v>
      </c>
      <c r="D7" s="16">
        <f>'Balance Sheet'!D23</f>
        <v>302115</v>
      </c>
      <c r="E7" s="16">
        <f>'Balance Sheet'!E23</f>
        <v>435920</v>
      </c>
      <c r="F7" s="16">
        <f>'Balance Sheet'!F23</f>
        <v>451066</v>
      </c>
      <c r="G7" s="16">
        <f>'Balance Sheet'!G23</f>
        <v>787295</v>
      </c>
    </row>
    <row r="8" spans="2:7" ht="18.75" x14ac:dyDescent="0.25">
      <c r="B8" s="17" t="s">
        <v>188</v>
      </c>
      <c r="C8" s="17">
        <f>ROUND(C6/C7, 2)</f>
        <v>1.36</v>
      </c>
      <c r="D8" s="17">
        <f t="shared" ref="D8:G8" si="0">ROUND(D6/D7, 2)</f>
        <v>2.0699999999999998</v>
      </c>
      <c r="E8" s="17">
        <f t="shared" si="0"/>
        <v>1.51</v>
      </c>
      <c r="F8" s="17">
        <f t="shared" si="0"/>
        <v>1.2</v>
      </c>
      <c r="G8" s="17">
        <f t="shared" si="0"/>
        <v>0.92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2CB0C-8591-45ED-A8FA-706430FD3E5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207448</v>
      </c>
      <c r="D6" s="16">
        <f>'Income Statement'!D11</f>
        <v>275237</v>
      </c>
      <c r="E6" s="16">
        <f>'Income Statement'!E11</f>
        <v>260621</v>
      </c>
      <c r="F6" s="16">
        <f>'Income Statement'!F11</f>
        <v>199915</v>
      </c>
      <c r="G6" s="16">
        <f>'Income Statement'!G11</f>
        <v>360784</v>
      </c>
    </row>
    <row r="7" spans="2:7" ht="18.75" x14ac:dyDescent="0.25">
      <c r="B7" s="15" t="str">
        <f>'Balance Sheet'!B19</f>
        <v>Total Current Liabilities</v>
      </c>
      <c r="C7" s="16">
        <f>'Balance Sheet'!C19</f>
        <v>308081</v>
      </c>
      <c r="D7" s="16">
        <f>'Balance Sheet'!D19</f>
        <v>285149</v>
      </c>
      <c r="E7" s="16">
        <f>'Balance Sheet'!E19</f>
        <v>359027</v>
      </c>
      <c r="F7" s="16">
        <f>'Balance Sheet'!F19</f>
        <v>261015</v>
      </c>
      <c r="G7" s="16">
        <f>'Balance Sheet'!G19</f>
        <v>294732</v>
      </c>
    </row>
    <row r="8" spans="2:7" ht="18.75" x14ac:dyDescent="0.25">
      <c r="B8" s="17" t="s">
        <v>190</v>
      </c>
      <c r="C8" s="17">
        <f>ROUND(C6/C7, 2)</f>
        <v>0.67</v>
      </c>
      <c r="D8" s="17">
        <f t="shared" ref="D8:G8" si="0">ROUND(D6/D7, 2)</f>
        <v>0.97</v>
      </c>
      <c r="E8" s="17">
        <f t="shared" si="0"/>
        <v>0.73</v>
      </c>
      <c r="F8" s="17">
        <f t="shared" si="0"/>
        <v>0.77</v>
      </c>
      <c r="G8" s="17">
        <f t="shared" si="0"/>
        <v>1.22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67FE5-AA8C-4D27-B490-FDC668F8270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Sheet'!B36</f>
        <v>Inventories</v>
      </c>
      <c r="C7" s="16">
        <f>'Balance Sheet'!C36</f>
        <v>60837</v>
      </c>
      <c r="D7" s="16">
        <f>'Balance Sheet'!D36</f>
        <v>67561</v>
      </c>
      <c r="E7" s="16">
        <f>'Balance Sheet'!E36</f>
        <v>73903</v>
      </c>
      <c r="F7" s="16">
        <f>'Balance Sheet'!F36</f>
        <v>81672</v>
      </c>
      <c r="G7" s="16">
        <f>'Balance Sheet'!G36</f>
        <v>107778</v>
      </c>
    </row>
    <row r="8" spans="2:7" ht="18.75" x14ac:dyDescent="0.25">
      <c r="B8" s="17" t="s">
        <v>192</v>
      </c>
      <c r="C8" s="17">
        <f>ROUND(365/C6*C7, 2)</f>
        <v>51.55</v>
      </c>
      <c r="D8" s="17">
        <f t="shared" ref="D8:G8" si="0">ROUND(365/D6*D7, 2)</f>
        <v>39.44</v>
      </c>
      <c r="E8" s="17">
        <f t="shared" si="0"/>
        <v>40.869999999999997</v>
      </c>
      <c r="F8" s="17">
        <f t="shared" si="0"/>
        <v>55.28</v>
      </c>
      <c r="G8" s="17">
        <f t="shared" si="0"/>
        <v>54.51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26C8C5-1D96-45BA-9E98-0EECBA35ADAE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430731</v>
      </c>
      <c r="D5" s="5">
        <v>625212</v>
      </c>
      <c r="E5" s="5">
        <v>659997</v>
      </c>
      <c r="F5" s="5">
        <v>539238</v>
      </c>
      <c r="G5" s="5">
        <v>721634</v>
      </c>
    </row>
    <row r="6" spans="2:7" ht="18.75" x14ac:dyDescent="0.25">
      <c r="B6" s="8" t="s">
        <v>98</v>
      </c>
      <c r="C6" s="4">
        <v>39054</v>
      </c>
      <c r="D6" s="5">
        <v>56003</v>
      </c>
      <c r="E6" s="5">
        <v>62462</v>
      </c>
      <c r="F6" s="5">
        <v>72314</v>
      </c>
      <c r="G6" s="5">
        <v>0</v>
      </c>
    </row>
    <row r="7" spans="2:7" ht="18.75" x14ac:dyDescent="0.25">
      <c r="B7" s="9" t="s">
        <v>105</v>
      </c>
      <c r="C7" s="7">
        <f>C5 - C6</f>
        <v>391677</v>
      </c>
      <c r="D7" s="7">
        <f t="shared" ref="D7:G7" si="0">D5 - D6</f>
        <v>569209</v>
      </c>
      <c r="E7" s="7">
        <f t="shared" si="0"/>
        <v>597535</v>
      </c>
      <c r="F7" s="7">
        <f t="shared" si="0"/>
        <v>466924</v>
      </c>
      <c r="G7" s="7">
        <f t="shared" si="0"/>
        <v>721634</v>
      </c>
    </row>
    <row r="8" spans="2:7" ht="18.75" x14ac:dyDescent="0.25">
      <c r="B8" s="8" t="s">
        <v>59</v>
      </c>
      <c r="C8" s="5">
        <v>9949</v>
      </c>
      <c r="D8" s="5">
        <v>8386</v>
      </c>
      <c r="E8" s="5">
        <v>13164</v>
      </c>
      <c r="F8" s="5">
        <v>16327</v>
      </c>
      <c r="G8" s="5">
        <v>14947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401626</v>
      </c>
      <c r="D10" s="7">
        <f t="shared" ref="D10:G10" si="1">SUM(D7:D9)</f>
        <v>577595</v>
      </c>
      <c r="E10" s="7">
        <f t="shared" si="1"/>
        <v>610699</v>
      </c>
      <c r="F10" s="7">
        <f t="shared" si="1"/>
        <v>483251</v>
      </c>
      <c r="G10" s="7">
        <f t="shared" si="1"/>
        <v>736581</v>
      </c>
    </row>
    <row r="11" spans="2:7" ht="18.75" x14ac:dyDescent="0.25">
      <c r="B11" s="8" t="s">
        <v>62</v>
      </c>
      <c r="C11" s="5">
        <v>207448</v>
      </c>
      <c r="D11" s="5">
        <v>275237</v>
      </c>
      <c r="E11" s="5">
        <v>260621</v>
      </c>
      <c r="F11" s="5">
        <v>199915</v>
      </c>
      <c r="G11" s="5">
        <v>360784</v>
      </c>
    </row>
    <row r="12" spans="2:7" ht="18.75" x14ac:dyDescent="0.25">
      <c r="B12" s="8" t="s">
        <v>64</v>
      </c>
      <c r="C12" s="4">
        <v>0</v>
      </c>
      <c r="D12" s="5">
        <v>28360</v>
      </c>
      <c r="E12" s="5">
        <v>24155</v>
      </c>
      <c r="F12" s="5">
        <v>19978</v>
      </c>
      <c r="G12" s="4">
        <v>0</v>
      </c>
    </row>
    <row r="13" spans="2:7" ht="18.75" x14ac:dyDescent="0.25">
      <c r="B13" s="8" t="s">
        <v>66</v>
      </c>
      <c r="C13" s="5">
        <v>9523</v>
      </c>
      <c r="D13" s="5">
        <v>12488</v>
      </c>
      <c r="E13" s="5">
        <v>14075</v>
      </c>
      <c r="F13" s="5">
        <v>14817</v>
      </c>
      <c r="G13" s="5">
        <v>18775</v>
      </c>
    </row>
    <row r="14" spans="2:7" ht="18.75" x14ac:dyDescent="0.25">
      <c r="B14" s="8" t="s">
        <v>69</v>
      </c>
      <c r="C14" s="5">
        <v>50512</v>
      </c>
      <c r="D14" s="5">
        <v>49707</v>
      </c>
      <c r="E14" s="5">
        <v>67459</v>
      </c>
      <c r="F14" s="5">
        <v>59680</v>
      </c>
      <c r="G14" s="5">
        <v>117487</v>
      </c>
    </row>
    <row r="15" spans="2:7" ht="18.75" x14ac:dyDescent="0.25">
      <c r="B15" s="9" t="s">
        <v>108</v>
      </c>
      <c r="C15" s="7">
        <f>C11+C12+C13+C14</f>
        <v>267483</v>
      </c>
      <c r="D15" s="7">
        <f t="shared" ref="D15:G15" si="2">D11+D12+D13+D14</f>
        <v>365792</v>
      </c>
      <c r="E15" s="7">
        <f t="shared" si="2"/>
        <v>366310</v>
      </c>
      <c r="F15" s="7">
        <f t="shared" si="2"/>
        <v>294390</v>
      </c>
      <c r="G15" s="7">
        <f t="shared" si="2"/>
        <v>497046</v>
      </c>
    </row>
    <row r="16" spans="2:7" ht="18.75" x14ac:dyDescent="0.25">
      <c r="B16" s="9" t="s">
        <v>109</v>
      </c>
      <c r="C16" s="7">
        <f xml:space="preserve"> C10-C15-C8</f>
        <v>124194</v>
      </c>
      <c r="D16" s="7">
        <f t="shared" ref="D16:G16" si="3" xml:space="preserve"> D10-D15-D8</f>
        <v>203417</v>
      </c>
      <c r="E16" s="7">
        <f t="shared" si="3"/>
        <v>231225</v>
      </c>
      <c r="F16" s="7">
        <f t="shared" si="3"/>
        <v>172534</v>
      </c>
      <c r="G16" s="7">
        <f t="shared" si="3"/>
        <v>224588</v>
      </c>
    </row>
    <row r="17" spans="2:7" ht="18.75" x14ac:dyDescent="0.25">
      <c r="B17" s="9" t="s">
        <v>110</v>
      </c>
      <c r="C17" s="7">
        <f xml:space="preserve"> C16+C8</f>
        <v>134143</v>
      </c>
      <c r="D17" s="7">
        <f t="shared" ref="D17:G17" si="4" xml:space="preserve"> D16+D8</f>
        <v>211803</v>
      </c>
      <c r="E17" s="7">
        <f t="shared" si="4"/>
        <v>244389</v>
      </c>
      <c r="F17" s="7">
        <f t="shared" si="4"/>
        <v>188861</v>
      </c>
      <c r="G17" s="7">
        <f t="shared" si="4"/>
        <v>239535</v>
      </c>
    </row>
    <row r="18" spans="2:7" ht="18.75" x14ac:dyDescent="0.25">
      <c r="B18" s="8" t="s">
        <v>68</v>
      </c>
      <c r="C18" s="5">
        <v>16706</v>
      </c>
      <c r="D18" s="5">
        <v>20934</v>
      </c>
      <c r="E18" s="5">
        <v>22203</v>
      </c>
      <c r="F18" s="5">
        <v>26572</v>
      </c>
      <c r="G18" s="5">
        <v>29797</v>
      </c>
    </row>
    <row r="19" spans="2:7" ht="18.75" x14ac:dyDescent="0.25">
      <c r="B19" s="9" t="s">
        <v>111</v>
      </c>
      <c r="C19" s="7">
        <f xml:space="preserve"> C17-C18</f>
        <v>117437</v>
      </c>
      <c r="D19" s="7">
        <f t="shared" ref="D19:G19" si="5" xml:space="preserve"> D17-D18</f>
        <v>190869</v>
      </c>
      <c r="E19" s="7">
        <f t="shared" si="5"/>
        <v>222186</v>
      </c>
      <c r="F19" s="7">
        <f t="shared" si="5"/>
        <v>162289</v>
      </c>
      <c r="G19" s="7">
        <f t="shared" si="5"/>
        <v>209738</v>
      </c>
    </row>
    <row r="20" spans="2:7" ht="18.75" x14ac:dyDescent="0.25">
      <c r="B20" s="8" t="s">
        <v>67</v>
      </c>
      <c r="C20" s="5">
        <v>8052</v>
      </c>
      <c r="D20" s="5">
        <v>16495</v>
      </c>
      <c r="E20" s="5">
        <v>22027</v>
      </c>
      <c r="F20" s="5">
        <v>21189</v>
      </c>
      <c r="G20" s="5">
        <v>14584</v>
      </c>
    </row>
    <row r="21" spans="2:7" ht="18.75" x14ac:dyDescent="0.25">
      <c r="B21" s="9" t="s">
        <v>112</v>
      </c>
      <c r="C21" s="7">
        <f xml:space="preserve"> C19-C20</f>
        <v>109385</v>
      </c>
      <c r="D21" s="7">
        <f t="shared" ref="D21:G21" si="6" xml:space="preserve"> D19-D20</f>
        <v>174374</v>
      </c>
      <c r="E21" s="7">
        <f t="shared" si="6"/>
        <v>200159</v>
      </c>
      <c r="F21" s="7">
        <f t="shared" si="6"/>
        <v>141100</v>
      </c>
      <c r="G21" s="7">
        <f t="shared" si="6"/>
        <v>195154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109385</v>
      </c>
      <c r="D23" s="7">
        <f t="shared" ref="D23:G23" si="7" xml:space="preserve"> D21+D22</f>
        <v>174374</v>
      </c>
      <c r="E23" s="7">
        <f t="shared" si="7"/>
        <v>200159</v>
      </c>
      <c r="F23" s="7">
        <f t="shared" si="7"/>
        <v>141100</v>
      </c>
      <c r="G23" s="7">
        <f t="shared" si="7"/>
        <v>195154</v>
      </c>
    </row>
    <row r="24" spans="2:7" ht="18.75" x14ac:dyDescent="0.25">
      <c r="B24" s="8" t="s">
        <v>72</v>
      </c>
      <c r="C24" s="5">
        <v>0</v>
      </c>
      <c r="D24" s="5">
        <v>0</v>
      </c>
      <c r="E24" s="5">
        <v>-4444</v>
      </c>
      <c r="F24" s="4">
        <v>5642</v>
      </c>
      <c r="G24" s="4">
        <v>2836</v>
      </c>
    </row>
    <row r="25" spans="2:7" ht="18.75" x14ac:dyDescent="0.25">
      <c r="B25" s="9" t="s">
        <v>115</v>
      </c>
      <c r="C25" s="7">
        <f xml:space="preserve"> C23+C24</f>
        <v>109385</v>
      </c>
      <c r="D25" s="7">
        <f t="shared" ref="D25:G25" si="8" xml:space="preserve"> D23+D24</f>
        <v>174374</v>
      </c>
      <c r="E25" s="7">
        <f t="shared" si="8"/>
        <v>195715</v>
      </c>
      <c r="F25" s="7">
        <f t="shared" si="8"/>
        <v>146742</v>
      </c>
      <c r="G25" s="7">
        <f t="shared" si="8"/>
        <v>197990</v>
      </c>
    </row>
    <row r="26" spans="2:7" ht="18.75" x14ac:dyDescent="0.25">
      <c r="B26" s="8" t="s">
        <v>79</v>
      </c>
      <c r="C26" s="5">
        <v>13346</v>
      </c>
      <c r="D26" s="5">
        <v>15390</v>
      </c>
      <c r="E26" s="5">
        <v>13726</v>
      </c>
      <c r="F26" s="5">
        <v>1722</v>
      </c>
      <c r="G26" s="5">
        <v>16297</v>
      </c>
    </row>
    <row r="27" spans="2:7" ht="18.75" x14ac:dyDescent="0.25">
      <c r="B27" s="9" t="s">
        <v>116</v>
      </c>
      <c r="C27" s="7">
        <f xml:space="preserve"> C25-C26</f>
        <v>96039</v>
      </c>
      <c r="D27" s="7">
        <f t="shared" ref="D27:G27" si="9" xml:space="preserve"> D25-D26</f>
        <v>158984</v>
      </c>
      <c r="E27" s="7">
        <f t="shared" si="9"/>
        <v>181989</v>
      </c>
      <c r="F27" s="7">
        <f t="shared" si="9"/>
        <v>145020</v>
      </c>
      <c r="G27" s="7">
        <f t="shared" si="9"/>
        <v>181693</v>
      </c>
    </row>
    <row r="28" spans="2:7" ht="18.75" x14ac:dyDescent="0.25">
      <c r="B28" s="8" t="s">
        <v>88</v>
      </c>
      <c r="C28" s="4">
        <v>3255</v>
      </c>
      <c r="D28" s="5">
        <v>3554</v>
      </c>
      <c r="E28" s="5">
        <v>3852</v>
      </c>
      <c r="F28" s="5">
        <v>3921</v>
      </c>
      <c r="G28" s="5">
        <v>0</v>
      </c>
    </row>
    <row r="29" spans="2:7" ht="18.75" x14ac:dyDescent="0.25">
      <c r="B29" s="8" t="s">
        <v>89</v>
      </c>
      <c r="C29" s="4">
        <v>661</v>
      </c>
      <c r="D29" s="4">
        <v>728</v>
      </c>
      <c r="E29" s="4">
        <v>732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92123</v>
      </c>
      <c r="D30" s="7">
        <f t="shared" ref="D30:G30" si="10" xml:space="preserve"> D27-D28-D29</f>
        <v>154702</v>
      </c>
      <c r="E30" s="7">
        <f t="shared" si="10"/>
        <v>177405</v>
      </c>
      <c r="F30" s="7">
        <f t="shared" si="10"/>
        <v>141099</v>
      </c>
      <c r="G30" s="7">
        <f t="shared" si="10"/>
        <v>181693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61</v>
      </c>
      <c r="D34" s="4">
        <v>67</v>
      </c>
      <c r="E34" s="4">
        <v>63</v>
      </c>
      <c r="F34" s="4">
        <v>76</v>
      </c>
      <c r="G34" s="4">
        <v>92</v>
      </c>
    </row>
    <row r="35" spans="2:7" ht="18.75" x14ac:dyDescent="0.25">
      <c r="B35" s="8" t="s">
        <v>118</v>
      </c>
      <c r="C35" s="4">
        <f>C27/C34</f>
        <v>1574.4098360655737</v>
      </c>
      <c r="D35" s="4">
        <f t="shared" ref="D35:G35" si="11">D27/D34</f>
        <v>2372.8955223880598</v>
      </c>
      <c r="E35" s="4">
        <f t="shared" si="11"/>
        <v>2888.7142857142858</v>
      </c>
      <c r="F35" s="4">
        <f t="shared" si="11"/>
        <v>1908.1578947368421</v>
      </c>
      <c r="G35" s="4">
        <f t="shared" si="11"/>
        <v>1974.9239130434783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775B3-4D77-4BF7-B521-AEBDB00D6DC8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207448</v>
      </c>
      <c r="D6" s="16">
        <f>'Income Statement'!D11</f>
        <v>275237</v>
      </c>
      <c r="E6" s="16">
        <f>'Income Statement'!E11</f>
        <v>260621</v>
      </c>
      <c r="F6" s="16">
        <f>'Income Statement'!F11</f>
        <v>199915</v>
      </c>
      <c r="G6" s="16">
        <f>'Income Statement'!G11</f>
        <v>360784</v>
      </c>
    </row>
    <row r="7" spans="2:7" ht="18.75" x14ac:dyDescent="0.25">
      <c r="B7" s="15" t="str">
        <f>'Balance Sheet'!B19</f>
        <v>Total Current Liabilities</v>
      </c>
      <c r="C7" s="16">
        <f>'Balance Sheet'!C19</f>
        <v>308081</v>
      </c>
      <c r="D7" s="16">
        <f>'Balance Sheet'!D19</f>
        <v>285149</v>
      </c>
      <c r="E7" s="16">
        <f>'Balance Sheet'!E19</f>
        <v>359027</v>
      </c>
      <c r="F7" s="16">
        <f>'Balance Sheet'!F19</f>
        <v>261015</v>
      </c>
      <c r="G7" s="16">
        <f>'Balance Sheet'!G19</f>
        <v>294732</v>
      </c>
    </row>
    <row r="8" spans="2:7" ht="18.75" x14ac:dyDescent="0.25">
      <c r="B8" s="17" t="s">
        <v>194</v>
      </c>
      <c r="C8" s="17">
        <f>ROUND(365/C6*C7, 2)</f>
        <v>542.05999999999995</v>
      </c>
      <c r="D8" s="17">
        <f t="shared" ref="D8:G8" si="0">ROUND(365/D6*D7, 2)</f>
        <v>378.14</v>
      </c>
      <c r="E8" s="17">
        <f t="shared" si="0"/>
        <v>502.82</v>
      </c>
      <c r="F8" s="17">
        <f t="shared" si="0"/>
        <v>476.55</v>
      </c>
      <c r="G8" s="17">
        <f t="shared" si="0"/>
        <v>298.18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54E57-24BC-4BB2-8C4D-9208635AD2A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Sheet'!B37</f>
        <v>Trade Receivables</v>
      </c>
      <c r="C7" s="16">
        <f>'Balance Sheet'!C37</f>
        <v>17555</v>
      </c>
      <c r="D7" s="16">
        <f>'Balance Sheet'!D37</f>
        <v>30089</v>
      </c>
      <c r="E7" s="16">
        <f>'Balance Sheet'!E37</f>
        <v>19656</v>
      </c>
      <c r="F7" s="16">
        <f>'Balance Sheet'!F37</f>
        <v>19014</v>
      </c>
      <c r="G7" s="16">
        <f>'Balance Sheet'!G37</f>
        <v>23640</v>
      </c>
    </row>
    <row r="8" spans="2:7" ht="18.75" x14ac:dyDescent="0.25">
      <c r="B8" s="17" t="s">
        <v>196</v>
      </c>
      <c r="C8" s="17">
        <f>ROUND(365/C6*C7, 2)</f>
        <v>14.88</v>
      </c>
      <c r="D8" s="17">
        <f t="shared" ref="D8:G8" si="0">ROUND(365/D6*D7, 2)</f>
        <v>17.57</v>
      </c>
      <c r="E8" s="17">
        <f t="shared" si="0"/>
        <v>10.87</v>
      </c>
      <c r="F8" s="17">
        <f t="shared" si="0"/>
        <v>12.87</v>
      </c>
      <c r="G8" s="17">
        <f t="shared" si="0"/>
        <v>11.96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3BB1CE-AA2D-435E-A12C-3A282C7F3804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Sheet'!B36</f>
        <v>Inventories</v>
      </c>
      <c r="C7" s="16">
        <f>'Balance Sheet'!C36</f>
        <v>60837</v>
      </c>
      <c r="D7" s="16">
        <f>'Balance Sheet'!D36</f>
        <v>67561</v>
      </c>
      <c r="E7" s="16">
        <f>'Balance Sheet'!E36</f>
        <v>73903</v>
      </c>
      <c r="F7" s="16">
        <f>'Balance Sheet'!F36</f>
        <v>81672</v>
      </c>
      <c r="G7" s="16">
        <f>'Balance Sheet'!G36</f>
        <v>107778</v>
      </c>
    </row>
    <row r="8" spans="2:7" ht="18.75" x14ac:dyDescent="0.25">
      <c r="B8" s="15" t="s">
        <v>192</v>
      </c>
      <c r="C8" s="16">
        <f>ROUND(365/C6*C7, 2)</f>
        <v>51.55</v>
      </c>
      <c r="D8" s="16">
        <f t="shared" ref="D8:G8" si="0">ROUND(365/D6*D7, 2)</f>
        <v>39.44</v>
      </c>
      <c r="E8" s="16">
        <f t="shared" si="0"/>
        <v>40.869999999999997</v>
      </c>
      <c r="F8" s="16">
        <f t="shared" si="0"/>
        <v>55.28</v>
      </c>
      <c r="G8" s="16">
        <f t="shared" si="0"/>
        <v>54.51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207448</v>
      </c>
      <c r="D9" s="16">
        <f>'Income Statement'!D11</f>
        <v>275237</v>
      </c>
      <c r="E9" s="16">
        <f>'Income Statement'!E11</f>
        <v>260621</v>
      </c>
      <c r="F9" s="16">
        <f>'Income Statement'!F11</f>
        <v>199915</v>
      </c>
      <c r="G9" s="16">
        <f>'Income Statement'!G11</f>
        <v>360784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308081</v>
      </c>
      <c r="D10" s="16">
        <f>'Balance Sheet'!D19</f>
        <v>285149</v>
      </c>
      <c r="E10" s="16">
        <f>'Balance Sheet'!E19</f>
        <v>359027</v>
      </c>
      <c r="F10" s="16">
        <f>'Balance Sheet'!F19</f>
        <v>261015</v>
      </c>
      <c r="G10" s="16">
        <f>'Balance Sheet'!G19</f>
        <v>294732</v>
      </c>
    </row>
    <row r="11" spans="2:7" ht="18.75" x14ac:dyDescent="0.25">
      <c r="B11" s="15" t="s">
        <v>194</v>
      </c>
      <c r="C11" s="16">
        <f>ROUND(365/C9*C10, 2)</f>
        <v>542.05999999999995</v>
      </c>
      <c r="D11" s="16">
        <f t="shared" ref="D11:G11" si="1">ROUND(365/D9*D10, 2)</f>
        <v>378.14</v>
      </c>
      <c r="E11" s="16">
        <f t="shared" si="1"/>
        <v>502.82</v>
      </c>
      <c r="F11" s="16">
        <f t="shared" si="1"/>
        <v>476.55</v>
      </c>
      <c r="G11" s="16">
        <f t="shared" si="1"/>
        <v>298.18</v>
      </c>
    </row>
    <row r="12" spans="2:7" ht="18.75" x14ac:dyDescent="0.25">
      <c r="B12" s="17" t="s">
        <v>198</v>
      </c>
      <c r="C12" s="28">
        <f>ROUND(C11+C8, 2)</f>
        <v>593.61</v>
      </c>
      <c r="D12" s="28">
        <f t="shared" ref="D12:G12" si="2">ROUND(D11+D8, 2)</f>
        <v>417.58</v>
      </c>
      <c r="E12" s="28">
        <f t="shared" si="2"/>
        <v>543.69000000000005</v>
      </c>
      <c r="F12" s="28">
        <f t="shared" si="2"/>
        <v>531.83000000000004</v>
      </c>
      <c r="G12" s="28">
        <f t="shared" si="2"/>
        <v>352.69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C2C49-A58B-4737-AFC4-478E1CDECDF5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430731</v>
      </c>
      <c r="D6" s="16">
        <f>'Income Statement'!D5</f>
        <v>625212</v>
      </c>
      <c r="E6" s="16">
        <f>'Income Statement'!E5</f>
        <v>659997</v>
      </c>
      <c r="F6" s="16">
        <f>'Income Statement'!F5</f>
        <v>539238</v>
      </c>
      <c r="G6" s="16">
        <f>'Income Statement'!G5</f>
        <v>721634</v>
      </c>
    </row>
    <row r="7" spans="2:7" ht="18.75" x14ac:dyDescent="0.25">
      <c r="B7" s="15" t="str">
        <f>'Balance Sheet'!B36</f>
        <v>Inventories</v>
      </c>
      <c r="C7" s="16">
        <f>'Balance Sheet'!C36</f>
        <v>60837</v>
      </c>
      <c r="D7" s="16">
        <f>'Balance Sheet'!D36</f>
        <v>67561</v>
      </c>
      <c r="E7" s="16">
        <f>'Balance Sheet'!E36</f>
        <v>73903</v>
      </c>
      <c r="F7" s="16">
        <f>'Balance Sheet'!F36</f>
        <v>81672</v>
      </c>
      <c r="G7" s="16">
        <f>'Balance Sheet'!G36</f>
        <v>107778</v>
      </c>
    </row>
    <row r="8" spans="2:7" ht="18.75" x14ac:dyDescent="0.25">
      <c r="B8" s="15" t="s">
        <v>192</v>
      </c>
      <c r="C8" s="16">
        <f>ROUND(365/C6*C7, 2)</f>
        <v>51.55</v>
      </c>
      <c r="D8" s="16">
        <f t="shared" ref="D8:G8" si="0">ROUND(365/D6*D7, 2)</f>
        <v>39.44</v>
      </c>
      <c r="E8" s="16">
        <f t="shared" si="0"/>
        <v>40.869999999999997</v>
      </c>
      <c r="F8" s="16">
        <f t="shared" si="0"/>
        <v>55.28</v>
      </c>
      <c r="G8" s="16">
        <f t="shared" si="0"/>
        <v>54.51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207448</v>
      </c>
      <c r="D9" s="16">
        <f>'Income Statement'!D11</f>
        <v>275237</v>
      </c>
      <c r="E9" s="16">
        <f>'Income Statement'!E11</f>
        <v>260621</v>
      </c>
      <c r="F9" s="16">
        <f>'Income Statement'!F11</f>
        <v>199915</v>
      </c>
      <c r="G9" s="16">
        <f>'Income Statement'!G11</f>
        <v>360784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308081</v>
      </c>
      <c r="D10" s="16">
        <f>'Balance Sheet'!D19</f>
        <v>285149</v>
      </c>
      <c r="E10" s="16">
        <f>'Balance Sheet'!E19</f>
        <v>359027</v>
      </c>
      <c r="F10" s="16">
        <f>'Balance Sheet'!F19</f>
        <v>261015</v>
      </c>
      <c r="G10" s="16">
        <f>'Balance Sheet'!G19</f>
        <v>294732</v>
      </c>
    </row>
    <row r="11" spans="2:7" ht="18.75" x14ac:dyDescent="0.25">
      <c r="B11" s="15" t="s">
        <v>194</v>
      </c>
      <c r="C11" s="16">
        <f>ROUND(365/C9*C10, 2)</f>
        <v>542.05999999999995</v>
      </c>
      <c r="D11" s="16">
        <f t="shared" ref="D11:G11" si="1">ROUND(365/D9*D10, 2)</f>
        <v>378.14</v>
      </c>
      <c r="E11" s="16">
        <f t="shared" si="1"/>
        <v>502.82</v>
      </c>
      <c r="F11" s="16">
        <f t="shared" si="1"/>
        <v>476.55</v>
      </c>
      <c r="G11" s="16">
        <f t="shared" si="1"/>
        <v>298.18</v>
      </c>
    </row>
    <row r="12" spans="2:7" ht="18.75" x14ac:dyDescent="0.25">
      <c r="B12" s="15" t="s">
        <v>200</v>
      </c>
      <c r="C12" s="16">
        <f>ROUND(C11+C8, 2)</f>
        <v>593.61</v>
      </c>
      <c r="D12" s="16">
        <f t="shared" ref="D12:G12" si="2">ROUND(D11+D8, 2)</f>
        <v>417.58</v>
      </c>
      <c r="E12" s="16">
        <f t="shared" si="2"/>
        <v>543.69000000000005</v>
      </c>
      <c r="F12" s="16">
        <f t="shared" si="2"/>
        <v>531.83000000000004</v>
      </c>
      <c r="G12" s="16">
        <f t="shared" si="2"/>
        <v>352.69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207448</v>
      </c>
      <c r="D13" s="16">
        <f>'Income Statement'!D11</f>
        <v>275237</v>
      </c>
      <c r="E13" s="16">
        <f>'Income Statement'!E11</f>
        <v>260621</v>
      </c>
      <c r="F13" s="16">
        <f>'Income Statement'!F11</f>
        <v>199915</v>
      </c>
      <c r="G13" s="16">
        <f>'Income Statement'!G11</f>
        <v>360784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308081</v>
      </c>
      <c r="D14" s="16">
        <f>'Balance Sheet'!D19</f>
        <v>285149</v>
      </c>
      <c r="E14" s="16">
        <f>'Balance Sheet'!E19</f>
        <v>359027</v>
      </c>
      <c r="F14" s="16">
        <f>'Balance Sheet'!F19</f>
        <v>261015</v>
      </c>
      <c r="G14" s="16">
        <f>'Balance Sheet'!G19</f>
        <v>294732</v>
      </c>
    </row>
    <row r="15" spans="2:7" ht="18.75" x14ac:dyDescent="0.25">
      <c r="B15" s="15" t="s">
        <v>194</v>
      </c>
      <c r="C15" s="16">
        <f>ROUND(365/C13*C14, 2)</f>
        <v>542.05999999999995</v>
      </c>
      <c r="D15" s="16">
        <f t="shared" ref="D15:G15" si="3">ROUND(365/D13*D14, 2)</f>
        <v>378.14</v>
      </c>
      <c r="E15" s="16">
        <f t="shared" si="3"/>
        <v>502.82</v>
      </c>
      <c r="F15" s="16">
        <f t="shared" si="3"/>
        <v>476.55</v>
      </c>
      <c r="G15" s="16">
        <f t="shared" si="3"/>
        <v>298.18</v>
      </c>
    </row>
    <row r="16" spans="2:7" ht="18.75" x14ac:dyDescent="0.25">
      <c r="B16" s="17" t="s">
        <v>201</v>
      </c>
      <c r="C16" s="28">
        <f>ROUND(C15-C12, 2)</f>
        <v>-51.55</v>
      </c>
      <c r="D16" s="28">
        <f t="shared" ref="D16:G16" si="4">ROUND(D15-D12, 2)</f>
        <v>-39.44</v>
      </c>
      <c r="E16" s="28">
        <f t="shared" si="4"/>
        <v>-40.869999999999997</v>
      </c>
      <c r="F16" s="28">
        <f t="shared" si="4"/>
        <v>-55.28</v>
      </c>
      <c r="G16" s="28">
        <f t="shared" si="4"/>
        <v>-54.51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B8C4-AEED-4698-92C2-A47BB9975E0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4.85546875" bestFit="1" customWidth="1"/>
    <col min="4" max="7" width="16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293491</v>
      </c>
      <c r="D5" s="16">
        <f>'Balance Sheet'!D9</f>
        <v>448197</v>
      </c>
      <c r="E5" s="16">
        <f>'Balance Sheet'!E9</f>
        <v>626015</v>
      </c>
      <c r="F5" s="16">
        <f>'Balance Sheet'!F9</f>
        <v>767220</v>
      </c>
      <c r="G5" s="16">
        <f>'Balance Sheet'!G9</f>
        <v>949233</v>
      </c>
    </row>
    <row r="6" spans="2:7" ht="18.75" x14ac:dyDescent="0.25">
      <c r="B6" s="15" t="str">
        <f>'Balance Sheet'!B21</f>
        <v>Total Liabilities</v>
      </c>
      <c r="C6" s="16">
        <f>'Balance Sheet'!C21</f>
        <v>816333</v>
      </c>
      <c r="D6" s="16">
        <f>'Balance Sheet'!D21</f>
        <v>1063491</v>
      </c>
      <c r="E6" s="16">
        <f>'Balance Sheet'!E21</f>
        <v>1342763</v>
      </c>
      <c r="F6" s="16">
        <f>'Balance Sheet'!F21</f>
        <v>1388260</v>
      </c>
      <c r="G6" s="16">
        <f>'Balance Sheet'!G21</f>
        <v>1669413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DBD0F-57E1-48E7-B64E-05823A99A3F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134143</v>
      </c>
      <c r="D5" s="16">
        <f>'Income Statement'!D17</f>
        <v>211803</v>
      </c>
      <c r="E5" s="16">
        <f>'Income Statement'!E17</f>
        <v>244389</v>
      </c>
      <c r="F5" s="16">
        <f>'Income Statement'!F17</f>
        <v>188861</v>
      </c>
      <c r="G5" s="16">
        <f>'Income Statement'!G17</f>
        <v>239535</v>
      </c>
    </row>
    <row r="6" spans="2:7" ht="18.75" x14ac:dyDescent="0.25">
      <c r="B6" s="15" t="str">
        <f>'Income Statement'!B19</f>
        <v>PBIT</v>
      </c>
      <c r="C6" s="16">
        <f>'Income Statement'!C19</f>
        <v>117437</v>
      </c>
      <c r="D6" s="16">
        <f>'Income Statement'!D19</f>
        <v>190869</v>
      </c>
      <c r="E6" s="16">
        <f>'Income Statement'!E19</f>
        <v>222186</v>
      </c>
      <c r="F6" s="16">
        <f>'Income Statement'!F19</f>
        <v>162289</v>
      </c>
      <c r="G6" s="16">
        <f>'Income Statement'!G19</f>
        <v>209738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340DB-299C-469F-BC10-E44BA1EB3B4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142579</v>
      </c>
      <c r="D5" s="16">
        <f>'Balance Sheet'!D39</f>
        <v>312235</v>
      </c>
      <c r="E5" s="16">
        <f>'Balance Sheet'!E39</f>
        <v>527638</v>
      </c>
      <c r="F5" s="16">
        <f>'Balance Sheet'!F39</f>
        <v>490924</v>
      </c>
      <c r="G5" s="16">
        <f>'Balance Sheet'!G39</f>
        <v>587360</v>
      </c>
    </row>
    <row r="6" spans="2:7" ht="18.75" x14ac:dyDescent="0.25">
      <c r="B6" s="15" t="str">
        <f>'Balance Sheet'!B19</f>
        <v>Total Current Liabilities</v>
      </c>
      <c r="C6" s="16">
        <f>'Balance Sheet'!C19</f>
        <v>308081</v>
      </c>
      <c r="D6" s="16">
        <f>'Balance Sheet'!D19</f>
        <v>285149</v>
      </c>
      <c r="E6" s="16">
        <f>'Balance Sheet'!E19</f>
        <v>359027</v>
      </c>
      <c r="F6" s="16">
        <f>'Balance Sheet'!F19</f>
        <v>261015</v>
      </c>
      <c r="G6" s="16">
        <f>'Balance Sheet'!G19</f>
        <v>294732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42C8D5-3B4A-49AE-801D-BA8562D7A37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2906</v>
      </c>
      <c r="D5" s="16">
        <f>'Balance Sheet'!D14</f>
        <v>2856</v>
      </c>
      <c r="E5" s="16">
        <f>'Balance Sheet'!E14</f>
        <v>1790</v>
      </c>
      <c r="F5" s="16">
        <f>'Balance Sheet'!F14</f>
        <v>2625</v>
      </c>
      <c r="G5" s="16">
        <f>'Balance Sheet'!G14</f>
        <v>1853</v>
      </c>
    </row>
    <row r="6" spans="2:7" ht="18.75" x14ac:dyDescent="0.25">
      <c r="B6" s="15" t="str">
        <f>'Balance Sheet'!B15</f>
        <v>Short Term Provisions</v>
      </c>
      <c r="C6" s="16">
        <f>'Balance Sheet'!C15</f>
        <v>1232</v>
      </c>
      <c r="D6" s="16">
        <f>'Balance Sheet'!D15</f>
        <v>1326</v>
      </c>
      <c r="E6" s="16">
        <f>'Balance Sheet'!E15</f>
        <v>1890</v>
      </c>
      <c r="F6" s="16">
        <f>'Balance Sheet'!F15</f>
        <v>2504</v>
      </c>
      <c r="G6" s="16">
        <f>'Balance Sheet'!G15</f>
        <v>1936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1D5CB-3F1A-4393-B1BF-AFAB7586A5F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207448</v>
      </c>
      <c r="D5" s="16">
        <f>'Income Statement'!D11</f>
        <v>275237</v>
      </c>
      <c r="E5" s="16">
        <f>'Income Statement'!E11</f>
        <v>260621</v>
      </c>
      <c r="F5" s="16">
        <f>'Income Statement'!F11</f>
        <v>199915</v>
      </c>
      <c r="G5" s="16">
        <f>'Income Statement'!G11</f>
        <v>360784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28360</v>
      </c>
      <c r="E6" s="16">
        <f>'Income Statement'!E12</f>
        <v>24155</v>
      </c>
      <c r="F6" s="16">
        <f>'Income Statement'!F12</f>
        <v>19978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011BA-B7C4-406F-935D-430A8A647DE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430731</v>
      </c>
      <c r="D5" s="16">
        <f>'Income Statement'!D5</f>
        <v>625212</v>
      </c>
      <c r="E5" s="16">
        <f>'Income Statement'!E5</f>
        <v>659997</v>
      </c>
      <c r="F5" s="16">
        <f>'Income Statement'!F5</f>
        <v>539238</v>
      </c>
      <c r="G5" s="16">
        <f>'Income Statement'!G5</f>
        <v>721634</v>
      </c>
    </row>
    <row r="6" spans="2:7" ht="18.75" x14ac:dyDescent="0.25">
      <c r="B6" s="15" t="str">
        <f>'Income Statement'!B10</f>
        <v>Total Income</v>
      </c>
      <c r="C6" s="16">
        <f>'Income Statement'!C10</f>
        <v>401626</v>
      </c>
      <c r="D6" s="16">
        <f>'Income Statement'!D10</f>
        <v>577595</v>
      </c>
      <c r="E6" s="16">
        <f>'Income Statement'!E10</f>
        <v>610699</v>
      </c>
      <c r="F6" s="16">
        <f>'Income Statement'!F10</f>
        <v>483251</v>
      </c>
      <c r="G6" s="16">
        <f>'Income Statement'!G10</f>
        <v>736581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70950-8FE6-4A34-B22D-A478B8968033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3" width="17.140625" bestFit="1" customWidth="1"/>
    <col min="4" max="7" width="20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5922</v>
      </c>
      <c r="D5" s="5">
        <v>5926</v>
      </c>
      <c r="E5" s="5">
        <v>6339</v>
      </c>
      <c r="F5" s="5">
        <v>6445</v>
      </c>
      <c r="G5" s="5">
        <v>6765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5922</v>
      </c>
      <c r="D7" s="7">
        <f t="shared" ref="D7:G7" si="0">D5+D6</f>
        <v>5926</v>
      </c>
      <c r="E7" s="7">
        <f t="shared" si="0"/>
        <v>6339</v>
      </c>
      <c r="F7" s="7">
        <f t="shared" si="0"/>
        <v>6445</v>
      </c>
      <c r="G7" s="7">
        <f t="shared" si="0"/>
        <v>6765</v>
      </c>
    </row>
    <row r="8" spans="2:7" ht="18.75" x14ac:dyDescent="0.25">
      <c r="B8" s="8" t="s">
        <v>7</v>
      </c>
      <c r="C8" s="5">
        <v>287569</v>
      </c>
      <c r="D8" s="5">
        <f>'Income Statement'!D30+C8</f>
        <v>442271</v>
      </c>
      <c r="E8" s="5">
        <f>'Income Statement'!E30+D8</f>
        <v>619676</v>
      </c>
      <c r="F8" s="5">
        <f>'Income Statement'!F30+E8</f>
        <v>760775</v>
      </c>
      <c r="G8" s="5">
        <f>'Income Statement'!G30+F8</f>
        <v>942468</v>
      </c>
    </row>
    <row r="9" spans="2:7" ht="18.75" x14ac:dyDescent="0.25">
      <c r="B9" s="9" t="s">
        <v>122</v>
      </c>
      <c r="C9" s="7">
        <f>C7+C8</f>
        <v>293491</v>
      </c>
      <c r="D9" s="7">
        <f t="shared" ref="D9:G9" si="1">D7+D8</f>
        <v>448197</v>
      </c>
      <c r="E9" s="7">
        <f t="shared" si="1"/>
        <v>626015</v>
      </c>
      <c r="F9" s="7">
        <f t="shared" si="1"/>
        <v>767220</v>
      </c>
      <c r="G9" s="7">
        <f t="shared" si="1"/>
        <v>949233</v>
      </c>
    </row>
    <row r="10" spans="2:7" ht="18.75" x14ac:dyDescent="0.25">
      <c r="B10" s="8" t="s">
        <v>12</v>
      </c>
      <c r="C10" s="5">
        <v>144175</v>
      </c>
      <c r="D10" s="5">
        <v>207506</v>
      </c>
      <c r="E10" s="5">
        <v>197631</v>
      </c>
      <c r="F10" s="5">
        <v>163683</v>
      </c>
      <c r="G10" s="5">
        <v>187699</v>
      </c>
    </row>
    <row r="11" spans="2:7" ht="18.75" x14ac:dyDescent="0.25">
      <c r="B11" s="8" t="s">
        <v>13</v>
      </c>
      <c r="C11" s="5">
        <v>29618</v>
      </c>
      <c r="D11" s="5">
        <v>49923</v>
      </c>
      <c r="E11" s="5">
        <v>54123</v>
      </c>
      <c r="F11" s="5">
        <v>37001</v>
      </c>
      <c r="G11" s="5">
        <v>49644</v>
      </c>
    </row>
    <row r="12" spans="2:7" ht="18.75" x14ac:dyDescent="0.25">
      <c r="B12" s="8" t="s">
        <v>18</v>
      </c>
      <c r="C12" s="5">
        <v>37429</v>
      </c>
      <c r="D12" s="5">
        <v>64436</v>
      </c>
      <c r="E12" s="5">
        <v>93786</v>
      </c>
      <c r="F12" s="5">
        <v>60081</v>
      </c>
      <c r="G12" s="5">
        <v>78606</v>
      </c>
    </row>
    <row r="13" spans="2:7" ht="18.75" x14ac:dyDescent="0.25">
      <c r="B13" s="9" t="s">
        <v>123</v>
      </c>
      <c r="C13" s="7">
        <f>C10+C11+C12</f>
        <v>211222</v>
      </c>
      <c r="D13" s="7">
        <f t="shared" ref="D13:G13" si="2">D10+D11+D12</f>
        <v>321865</v>
      </c>
      <c r="E13" s="7">
        <f t="shared" si="2"/>
        <v>345540</v>
      </c>
      <c r="F13" s="7">
        <f t="shared" si="2"/>
        <v>260765</v>
      </c>
      <c r="G13" s="7">
        <f t="shared" si="2"/>
        <v>315949</v>
      </c>
    </row>
    <row r="14" spans="2:7" ht="18.75" x14ac:dyDescent="0.25">
      <c r="B14" s="8" t="s">
        <v>15</v>
      </c>
      <c r="C14" s="5">
        <v>2906</v>
      </c>
      <c r="D14" s="5">
        <v>2856</v>
      </c>
      <c r="E14" s="5">
        <v>1790</v>
      </c>
      <c r="F14" s="5">
        <v>2625</v>
      </c>
      <c r="G14" s="5">
        <v>1853</v>
      </c>
    </row>
    <row r="15" spans="2:7" ht="18.75" x14ac:dyDescent="0.25">
      <c r="B15" s="8" t="s">
        <v>21</v>
      </c>
      <c r="C15" s="5">
        <v>1232</v>
      </c>
      <c r="D15" s="5">
        <v>1326</v>
      </c>
      <c r="E15" s="5">
        <v>1890</v>
      </c>
      <c r="F15" s="5">
        <v>2504</v>
      </c>
      <c r="G15" s="5">
        <v>1936</v>
      </c>
    </row>
    <row r="16" spans="2:7" ht="18.75" x14ac:dyDescent="0.25">
      <c r="B16" s="8" t="s">
        <v>14</v>
      </c>
      <c r="C16" s="5">
        <v>28752</v>
      </c>
      <c r="D16" s="5">
        <v>29407</v>
      </c>
      <c r="E16" s="5">
        <v>38108</v>
      </c>
      <c r="F16" s="5">
        <v>40903</v>
      </c>
      <c r="G16" s="5">
        <v>62823</v>
      </c>
    </row>
    <row r="17" spans="2:7" ht="18.75" x14ac:dyDescent="0.25">
      <c r="B17" s="8" t="s">
        <v>19</v>
      </c>
      <c r="C17" s="5">
        <v>106861</v>
      </c>
      <c r="D17" s="5">
        <v>108309</v>
      </c>
      <c r="E17" s="5">
        <v>96799</v>
      </c>
      <c r="F17" s="5">
        <v>108897</v>
      </c>
      <c r="G17" s="5">
        <v>159330</v>
      </c>
    </row>
    <row r="18" spans="2:7" ht="18.75" x14ac:dyDescent="0.25">
      <c r="B18" s="8" t="s">
        <v>20</v>
      </c>
      <c r="C18" s="5">
        <v>168330</v>
      </c>
      <c r="D18" s="5">
        <v>143251</v>
      </c>
      <c r="E18" s="5">
        <v>220440</v>
      </c>
      <c r="F18" s="5">
        <v>106086</v>
      </c>
      <c r="G18" s="5">
        <v>68790</v>
      </c>
    </row>
    <row r="19" spans="2:7" ht="18.75" x14ac:dyDescent="0.25">
      <c r="B19" s="9" t="s">
        <v>22</v>
      </c>
      <c r="C19" s="7">
        <f>C14+C15+C16+C17+C18</f>
        <v>308081</v>
      </c>
      <c r="D19" s="7">
        <f t="shared" ref="D19:G19" si="3">D14+D15+D16+D17+D18</f>
        <v>285149</v>
      </c>
      <c r="E19" s="7">
        <f t="shared" si="3"/>
        <v>359027</v>
      </c>
      <c r="F19" s="7">
        <f t="shared" si="3"/>
        <v>261015</v>
      </c>
      <c r="G19" s="7">
        <f t="shared" si="3"/>
        <v>294732</v>
      </c>
    </row>
    <row r="20" spans="2:7" ht="18.75" x14ac:dyDescent="0.25">
      <c r="B20" s="8" t="s">
        <v>10</v>
      </c>
      <c r="C20" s="5">
        <v>3539</v>
      </c>
      <c r="D20" s="5">
        <v>8280</v>
      </c>
      <c r="E20" s="5">
        <v>12181</v>
      </c>
      <c r="F20" s="5">
        <v>99260</v>
      </c>
      <c r="G20" s="5">
        <v>109499</v>
      </c>
    </row>
    <row r="21" spans="2:7" ht="18.75" x14ac:dyDescent="0.25">
      <c r="B21" s="9" t="s">
        <v>124</v>
      </c>
      <c r="C21" s="7">
        <f>C9+C13+C19+C20</f>
        <v>816333</v>
      </c>
      <c r="D21" s="7">
        <f t="shared" ref="D21:G21" si="4">D9+D13+D19+D20</f>
        <v>1063491</v>
      </c>
      <c r="E21" s="7">
        <f t="shared" si="4"/>
        <v>1342763</v>
      </c>
      <c r="F21" s="7">
        <f t="shared" si="4"/>
        <v>1388260</v>
      </c>
      <c r="G21" s="7">
        <f t="shared" si="4"/>
        <v>1669413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316031</v>
      </c>
      <c r="D23" s="5">
        <v>302115</v>
      </c>
      <c r="E23" s="5">
        <v>435920</v>
      </c>
      <c r="F23" s="5">
        <v>451066</v>
      </c>
      <c r="G23" s="5">
        <v>787295</v>
      </c>
    </row>
    <row r="24" spans="2:7" ht="18.75" x14ac:dyDescent="0.25">
      <c r="B24" s="8" t="s">
        <v>27</v>
      </c>
      <c r="C24" s="4">
        <v>82041</v>
      </c>
      <c r="D24" s="5">
        <v>84262</v>
      </c>
      <c r="E24" s="5">
        <v>86479</v>
      </c>
      <c r="F24" s="5">
        <v>79980</v>
      </c>
      <c r="G24" s="5">
        <v>0</v>
      </c>
    </row>
    <row r="25" spans="2:7" ht="18.75" x14ac:dyDescent="0.25">
      <c r="B25" s="8" t="s">
        <v>125</v>
      </c>
      <c r="C25" s="4"/>
      <c r="D25" s="5">
        <f>'Income Statement'!D18</f>
        <v>20934</v>
      </c>
      <c r="E25" s="5">
        <f>'Income Statement'!E18+D25</f>
        <v>43137</v>
      </c>
      <c r="F25" s="5">
        <f>'Income Statement'!F18+E25</f>
        <v>69709</v>
      </c>
      <c r="G25" s="5">
        <f>'Income Statement'!G18+F25</f>
        <v>99506</v>
      </c>
    </row>
    <row r="26" spans="2:7" ht="18.75" x14ac:dyDescent="0.25">
      <c r="B26" s="9" t="s">
        <v>126</v>
      </c>
      <c r="C26" s="7">
        <f>C23+C24-C25</f>
        <v>398072</v>
      </c>
      <c r="D26" s="7">
        <f t="shared" ref="D26:G26" si="5">D23+D24-D25</f>
        <v>365443</v>
      </c>
      <c r="E26" s="7">
        <f t="shared" si="5"/>
        <v>479262</v>
      </c>
      <c r="F26" s="7">
        <f t="shared" si="5"/>
        <v>461337</v>
      </c>
      <c r="G26" s="7">
        <f t="shared" si="5"/>
        <v>687789</v>
      </c>
    </row>
    <row r="27" spans="2:7" ht="18.75" x14ac:dyDescent="0.25">
      <c r="B27" s="8" t="s">
        <v>30</v>
      </c>
      <c r="C27" s="5">
        <v>25259</v>
      </c>
      <c r="D27" s="5">
        <v>164612</v>
      </c>
      <c r="E27" s="5">
        <v>203852</v>
      </c>
      <c r="F27" s="5">
        <v>212382</v>
      </c>
      <c r="G27" s="5">
        <v>286146</v>
      </c>
    </row>
    <row r="28" spans="2:7" ht="18.75" x14ac:dyDescent="0.25">
      <c r="B28" s="8" t="s">
        <v>36</v>
      </c>
      <c r="C28" s="5">
        <v>57603</v>
      </c>
      <c r="D28" s="5">
        <v>71023</v>
      </c>
      <c r="E28" s="5">
        <v>72915</v>
      </c>
      <c r="F28" s="5">
        <v>152446</v>
      </c>
      <c r="G28" s="5">
        <v>108118</v>
      </c>
    </row>
    <row r="29" spans="2:7" ht="18.75" x14ac:dyDescent="0.25">
      <c r="B29" s="8" t="s">
        <v>28</v>
      </c>
      <c r="C29" s="4">
        <v>192820</v>
      </c>
      <c r="D29" s="5">
        <v>150178</v>
      </c>
      <c r="E29" s="5">
        <v>59096</v>
      </c>
      <c r="F29" s="5">
        <v>71171</v>
      </c>
      <c r="G29" s="5">
        <v>0</v>
      </c>
    </row>
    <row r="30" spans="2:7" ht="18.75" x14ac:dyDescent="0.25">
      <c r="B30" s="9" t="s">
        <v>127</v>
      </c>
      <c r="C30" s="7">
        <f>C26+C27+C28+C29</f>
        <v>673754</v>
      </c>
      <c r="D30" s="7">
        <f t="shared" ref="D30:G30" si="6">D26+D27+D28+D29</f>
        <v>751256</v>
      </c>
      <c r="E30" s="7">
        <f t="shared" si="6"/>
        <v>815125</v>
      </c>
      <c r="F30" s="7">
        <f t="shared" si="6"/>
        <v>897336</v>
      </c>
      <c r="G30" s="7">
        <f t="shared" si="6"/>
        <v>1082053</v>
      </c>
    </row>
    <row r="31" spans="2:7" ht="18.75" x14ac:dyDescent="0.25">
      <c r="B31" s="8" t="s">
        <v>31</v>
      </c>
      <c r="C31" s="5">
        <v>5075</v>
      </c>
      <c r="D31" s="5">
        <v>4776</v>
      </c>
      <c r="E31" s="5">
        <v>2900</v>
      </c>
      <c r="F31" s="5">
        <v>1147</v>
      </c>
      <c r="G31" s="5">
        <v>1043</v>
      </c>
    </row>
    <row r="32" spans="2:7" ht="18.75" x14ac:dyDescent="0.25">
      <c r="B32" s="8" t="s">
        <v>32</v>
      </c>
      <c r="C32" s="5">
        <v>2668</v>
      </c>
      <c r="D32" s="5">
        <v>5452</v>
      </c>
      <c r="E32" s="5">
        <v>21732</v>
      </c>
      <c r="F32" s="5">
        <v>2484</v>
      </c>
      <c r="G32" s="5">
        <v>1588</v>
      </c>
    </row>
    <row r="33" spans="2:7" ht="18.75" x14ac:dyDescent="0.25">
      <c r="B33" s="8" t="s">
        <v>33</v>
      </c>
      <c r="C33" s="5">
        <v>8653</v>
      </c>
      <c r="D33" s="5">
        <v>17676</v>
      </c>
      <c r="E33" s="5">
        <v>37407</v>
      </c>
      <c r="F33" s="5">
        <v>64977</v>
      </c>
      <c r="G33" s="5">
        <v>63565</v>
      </c>
    </row>
    <row r="34" spans="2:7" ht="18.75" x14ac:dyDescent="0.25">
      <c r="B34" s="8" t="s">
        <v>40</v>
      </c>
      <c r="C34" s="4">
        <v>2327</v>
      </c>
      <c r="D34" s="4">
        <v>545</v>
      </c>
      <c r="E34" s="4">
        <v>669</v>
      </c>
      <c r="F34" s="4">
        <v>65</v>
      </c>
      <c r="G34" s="5">
        <v>130</v>
      </c>
    </row>
    <row r="35" spans="2:7" ht="18.75" x14ac:dyDescent="0.25">
      <c r="B35" s="8" t="s">
        <v>41</v>
      </c>
      <c r="C35" s="5">
        <v>41209</v>
      </c>
      <c r="D35" s="5">
        <v>51754</v>
      </c>
      <c r="E35" s="5">
        <v>60197</v>
      </c>
      <c r="F35" s="5">
        <v>102417</v>
      </c>
      <c r="G35" s="5">
        <v>71175</v>
      </c>
    </row>
    <row r="36" spans="2:7" ht="18.75" x14ac:dyDescent="0.25">
      <c r="B36" s="8" t="s">
        <v>37</v>
      </c>
      <c r="C36" s="5">
        <v>60837</v>
      </c>
      <c r="D36" s="5">
        <v>67561</v>
      </c>
      <c r="E36" s="5">
        <v>73903</v>
      </c>
      <c r="F36" s="5">
        <v>81672</v>
      </c>
      <c r="G36" s="5">
        <v>107778</v>
      </c>
    </row>
    <row r="37" spans="2:7" ht="18.75" x14ac:dyDescent="0.25">
      <c r="B37" s="8" t="s">
        <v>38</v>
      </c>
      <c r="C37" s="5">
        <v>17555</v>
      </c>
      <c r="D37" s="5">
        <v>30089</v>
      </c>
      <c r="E37" s="5">
        <v>19656</v>
      </c>
      <c r="F37" s="5">
        <v>19014</v>
      </c>
      <c r="G37" s="5">
        <v>23640</v>
      </c>
    </row>
    <row r="38" spans="2:7" ht="18.75" x14ac:dyDescent="0.25">
      <c r="B38" s="8" t="s">
        <v>39</v>
      </c>
      <c r="C38" s="5">
        <v>4255</v>
      </c>
      <c r="D38" s="5">
        <f>'CashFlow Statement'!D48+C38</f>
        <v>134382</v>
      </c>
      <c r="E38" s="5">
        <f>'CashFlow Statement'!E48+D38</f>
        <v>311174</v>
      </c>
      <c r="F38" s="5">
        <f>'CashFlow Statement'!F48+E38</f>
        <v>219148</v>
      </c>
      <c r="G38" s="5">
        <f>'CashFlow Statement'!G48+F38</f>
        <v>318441</v>
      </c>
    </row>
    <row r="39" spans="2:7" ht="18.75" x14ac:dyDescent="0.25">
      <c r="B39" s="9" t="s">
        <v>42</v>
      </c>
      <c r="C39" s="7">
        <f>C31+C32+C33+C34+C35+C36+C37+C38</f>
        <v>142579</v>
      </c>
      <c r="D39" s="7">
        <f t="shared" ref="D39:G39" si="7">D31+D32+D33+D34+D35+D36+D37+D38</f>
        <v>312235</v>
      </c>
      <c r="E39" s="7">
        <f t="shared" si="7"/>
        <v>527638</v>
      </c>
      <c r="F39" s="7">
        <f t="shared" si="7"/>
        <v>490924</v>
      </c>
      <c r="G39" s="7">
        <f t="shared" si="7"/>
        <v>587360</v>
      </c>
    </row>
    <row r="40" spans="2:7" ht="18.75" x14ac:dyDescent="0.25">
      <c r="B40" s="9" t="s">
        <v>43</v>
      </c>
      <c r="C40" s="7">
        <f>C30+C39</f>
        <v>816333</v>
      </c>
      <c r="D40" s="7">
        <f t="shared" ref="D40:G40" si="8">D30+D39</f>
        <v>1063491</v>
      </c>
      <c r="E40" s="7">
        <f t="shared" si="8"/>
        <v>1342763</v>
      </c>
      <c r="F40" s="7">
        <f t="shared" si="8"/>
        <v>1388260</v>
      </c>
      <c r="G40" s="7">
        <f t="shared" si="8"/>
        <v>1669413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86D72-907A-4E74-B51D-222527413CB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4.85546875" bestFit="1" customWidth="1"/>
    <col min="4" max="7" width="16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816333</v>
      </c>
      <c r="D5" s="16">
        <f>'Balance Sheet'!D21</f>
        <v>1063491</v>
      </c>
      <c r="E5" s="16">
        <f>'Balance Sheet'!E21</f>
        <v>1342763</v>
      </c>
      <c r="F5" s="16">
        <f>'Balance Sheet'!F21</f>
        <v>1388260</v>
      </c>
      <c r="G5" s="16">
        <f>'Balance Sheet'!G21</f>
        <v>1669413</v>
      </c>
    </row>
    <row r="6" spans="2:7" ht="18.75" x14ac:dyDescent="0.25">
      <c r="B6" s="15" t="str">
        <f>'Balance Sheet'!B13</f>
        <v>Total Debt</v>
      </c>
      <c r="C6" s="16">
        <f>'Balance Sheet'!C13</f>
        <v>211222</v>
      </c>
      <c r="D6" s="16">
        <f>'Balance Sheet'!D13</f>
        <v>321865</v>
      </c>
      <c r="E6" s="16">
        <f>'Balance Sheet'!E13</f>
        <v>345540</v>
      </c>
      <c r="F6" s="16">
        <f>'Balance Sheet'!F13</f>
        <v>260765</v>
      </c>
      <c r="G6" s="16">
        <f>'Balance Sheet'!G13</f>
        <v>315949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99F30-66B3-4E8F-8E8D-F9753F65517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4.85546875" bestFit="1" customWidth="1"/>
    <col min="4" max="7" width="16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816333</v>
      </c>
      <c r="D5" s="16">
        <f>'Balance Sheet'!D21</f>
        <v>1063491</v>
      </c>
      <c r="E5" s="16">
        <f>'Balance Sheet'!E21</f>
        <v>1342763</v>
      </c>
      <c r="F5" s="16">
        <f>'Balance Sheet'!F21</f>
        <v>1388260</v>
      </c>
      <c r="G5" s="16">
        <f>'Balance Sheet'!G21</f>
        <v>1669413</v>
      </c>
    </row>
    <row r="6" spans="2:7" ht="18.75" x14ac:dyDescent="0.25">
      <c r="B6" s="15" t="str">
        <f>'Balance Sheet'!B19</f>
        <v>Total Current Liabilities</v>
      </c>
      <c r="C6" s="16">
        <f>'Balance Sheet'!C19</f>
        <v>308081</v>
      </c>
      <c r="D6" s="16">
        <f>'Balance Sheet'!D19</f>
        <v>285149</v>
      </c>
      <c r="E6" s="16">
        <f>'Balance Sheet'!E19</f>
        <v>359027</v>
      </c>
      <c r="F6" s="16">
        <f>'Balance Sheet'!F19</f>
        <v>261015</v>
      </c>
      <c r="G6" s="16">
        <f>'Balance Sheet'!G19</f>
        <v>294732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6C264-A395-42AD-A905-B0E653FEB1A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3" width="14.85546875" bestFit="1" customWidth="1"/>
    <col min="4" max="7" width="16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816333</v>
      </c>
      <c r="D5" s="16">
        <f>'Balance Sheet'!D40</f>
        <v>1063491</v>
      </c>
      <c r="E5" s="16">
        <f>'Balance Sheet'!E40</f>
        <v>1342763</v>
      </c>
      <c r="F5" s="16">
        <f>'Balance Sheet'!F40</f>
        <v>1388260</v>
      </c>
      <c r="G5" s="16">
        <f>'Balance Sheet'!G40</f>
        <v>1669413</v>
      </c>
    </row>
    <row r="6" spans="2:7" ht="18.75" x14ac:dyDescent="0.25">
      <c r="B6" s="15" t="str">
        <f>'Balance Sheet'!B30</f>
        <v>Total Non Current Assets</v>
      </c>
      <c r="C6" s="16">
        <f>'Balance Sheet'!C30</f>
        <v>673754</v>
      </c>
      <c r="D6" s="16">
        <f>'Balance Sheet'!D30</f>
        <v>751256</v>
      </c>
      <c r="E6" s="16">
        <f>'Balance Sheet'!E30</f>
        <v>815125</v>
      </c>
      <c r="F6" s="16">
        <f>'Balance Sheet'!F30</f>
        <v>897336</v>
      </c>
      <c r="G6" s="16">
        <f>'Balance Sheet'!G30</f>
        <v>1082053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0155A-1C0E-4F55-B96D-697F9068794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3" width="14.85546875" bestFit="1" customWidth="1"/>
    <col min="4" max="7" width="16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816333</v>
      </c>
      <c r="D5" s="16">
        <f>'Balance Sheet'!D40</f>
        <v>1063491</v>
      </c>
      <c r="E5" s="16">
        <f>'Balance Sheet'!E40</f>
        <v>1342763</v>
      </c>
      <c r="F5" s="16">
        <f>'Balance Sheet'!F40</f>
        <v>1388260</v>
      </c>
      <c r="G5" s="16">
        <f>'Balance Sheet'!G40</f>
        <v>1669413</v>
      </c>
    </row>
    <row r="6" spans="2:7" ht="18.75" x14ac:dyDescent="0.25">
      <c r="B6" s="15" t="str">
        <f>'Balance Sheet'!B39</f>
        <v>Total Current Assets</v>
      </c>
      <c r="C6" s="16">
        <f>'Balance Sheet'!C39</f>
        <v>142579</v>
      </c>
      <c r="D6" s="16">
        <f>'Balance Sheet'!D39</f>
        <v>312235</v>
      </c>
      <c r="E6" s="16">
        <f>'Balance Sheet'!E39</f>
        <v>527638</v>
      </c>
      <c r="F6" s="16">
        <f>'Balance Sheet'!F39</f>
        <v>490924</v>
      </c>
      <c r="G6" s="16">
        <f>'Balance Sheet'!G39</f>
        <v>587360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65826-614D-4021-ADF3-B02C9C824EB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267483</v>
      </c>
      <c r="D5" s="16">
        <f>'Income Statement'!D15</f>
        <v>365792</v>
      </c>
      <c r="E5" s="16">
        <f>'Income Statement'!E15</f>
        <v>366310</v>
      </c>
      <c r="F5" s="16">
        <f>'Income Statement'!F15</f>
        <v>294390</v>
      </c>
      <c r="G5" s="16">
        <f>'Income Statement'!G15</f>
        <v>497046</v>
      </c>
    </row>
    <row r="6" spans="2:7" ht="18.75" x14ac:dyDescent="0.25">
      <c r="B6" s="15" t="str">
        <f>'Income Statement'!B10</f>
        <v>Total Income</v>
      </c>
      <c r="C6" s="16">
        <f>'Income Statement'!C10</f>
        <v>401626</v>
      </c>
      <c r="D6" s="16">
        <f>'Income Statement'!D10</f>
        <v>577595</v>
      </c>
      <c r="E6" s="16">
        <f>'Income Statement'!E10</f>
        <v>610699</v>
      </c>
      <c r="F6" s="16">
        <f>'Income Statement'!F10</f>
        <v>483251</v>
      </c>
      <c r="G6" s="16">
        <f>'Income Statement'!G10</f>
        <v>736581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D73047-F00B-409D-909E-1CE4F530E2E4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92123</v>
      </c>
      <c r="D5" s="16">
        <f>'Income Statement'!D30</f>
        <v>154702</v>
      </c>
      <c r="E5" s="16">
        <f>'Income Statement'!E30</f>
        <v>177405</v>
      </c>
      <c r="F5" s="16">
        <f>'Income Statement'!F30</f>
        <v>141099</v>
      </c>
      <c r="G5" s="16">
        <f>'Income Statement'!G30</f>
        <v>181693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96039</v>
      </c>
      <c r="D6" s="16">
        <f>'Income Statement'!D27</f>
        <v>158984</v>
      </c>
      <c r="E6" s="16">
        <f>'Income Statement'!E27</f>
        <v>181989</v>
      </c>
      <c r="F6" s="16">
        <f>'Income Statement'!F27</f>
        <v>145020</v>
      </c>
      <c r="G6" s="16">
        <f>'Income Statement'!G27</f>
        <v>181693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D857E-6E5A-4701-B7C2-5EFBA1057CBD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8.42578125" bestFit="1" customWidth="1"/>
    <col min="5" max="5" width="17.140625" bestFit="1" customWidth="1"/>
    <col min="6" max="6" width="16.7109375" bestFit="1" customWidth="1"/>
    <col min="7" max="7" width="18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174374</v>
      </c>
      <c r="E5" s="5">
        <f>'Income Statement'!E25</f>
        <v>195715</v>
      </c>
      <c r="F5" s="5">
        <f>'Income Statement'!F25</f>
        <v>146742</v>
      </c>
      <c r="G5" s="5">
        <f>'Income Statement'!G25</f>
        <v>197990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20934</v>
      </c>
      <c r="E7" s="5">
        <f>'Income Statement'!E18</f>
        <v>22203</v>
      </c>
      <c r="F7" s="5">
        <f>'Income Statement'!F18</f>
        <v>26572</v>
      </c>
      <c r="G7" s="5">
        <f>'Income Statement'!G18</f>
        <v>29797</v>
      </c>
    </row>
    <row r="8" spans="2:7" ht="18.75" x14ac:dyDescent="0.25">
      <c r="B8" s="8" t="s">
        <v>131</v>
      </c>
      <c r="C8" s="4"/>
      <c r="D8" s="5">
        <f>'Income Statement'!D20</f>
        <v>16495</v>
      </c>
      <c r="E8" s="5">
        <f>'Income Statement'!E20</f>
        <v>22027</v>
      </c>
      <c r="F8" s="5">
        <f>'Income Statement'!F20</f>
        <v>21189</v>
      </c>
      <c r="G8" s="5">
        <f>'Income Statement'!G20</f>
        <v>14584</v>
      </c>
    </row>
    <row r="9" spans="2:7" ht="18.75" x14ac:dyDescent="0.25">
      <c r="B9" s="8" t="s">
        <v>59</v>
      </c>
      <c r="C9" s="4"/>
      <c r="D9" s="5">
        <f>'Income Statement'!D8</f>
        <v>8386</v>
      </c>
      <c r="E9" s="5">
        <f>'Income Statement'!E8</f>
        <v>13164</v>
      </c>
      <c r="F9" s="5">
        <f>'Income Statement'!F8</f>
        <v>16327</v>
      </c>
      <c r="G9" s="5">
        <f>'Income Statement'!G8</f>
        <v>14947</v>
      </c>
    </row>
    <row r="10" spans="2:7" ht="18.75" x14ac:dyDescent="0.25">
      <c r="B10" s="9" t="s">
        <v>132</v>
      </c>
      <c r="C10" s="6"/>
      <c r="D10" s="7">
        <f>D7+D8-D9</f>
        <v>29043</v>
      </c>
      <c r="E10" s="7">
        <f t="shared" ref="E10:G10" si="0">E7+E8-E9</f>
        <v>31066</v>
      </c>
      <c r="F10" s="7">
        <f t="shared" si="0"/>
        <v>31434</v>
      </c>
      <c r="G10" s="7">
        <f t="shared" si="0"/>
        <v>29434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299</v>
      </c>
      <c r="E12" s="5">
        <f>'Balance Sheet'!D31-'Balance Sheet'!E31</f>
        <v>1876</v>
      </c>
      <c r="F12" s="5">
        <f>'Balance Sheet'!E31-'Balance Sheet'!F31</f>
        <v>1753</v>
      </c>
      <c r="G12" s="5">
        <f>'Balance Sheet'!F31-'Balance Sheet'!G31</f>
        <v>104</v>
      </c>
    </row>
    <row r="13" spans="2:7" ht="18.75" x14ac:dyDescent="0.25">
      <c r="B13" s="8" t="str">
        <f>'Balance Sheet'!B32</f>
        <v>Long Term Loans And Advances</v>
      </c>
      <c r="C13" s="4"/>
      <c r="D13" s="5">
        <f>'Balance Sheet'!C32-'Balance Sheet'!D32</f>
        <v>-2784</v>
      </c>
      <c r="E13" s="5">
        <f>'Balance Sheet'!D32-'Balance Sheet'!E32</f>
        <v>-16280</v>
      </c>
      <c r="F13" s="5">
        <f>'Balance Sheet'!E32-'Balance Sheet'!F32</f>
        <v>19248</v>
      </c>
      <c r="G13" s="5">
        <f>'Balance Sheet'!F32-'Balance Sheet'!G32</f>
        <v>896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-9023</v>
      </c>
      <c r="E14" s="5">
        <f>'Balance Sheet'!D33-'Balance Sheet'!E33</f>
        <v>-19731</v>
      </c>
      <c r="F14" s="5">
        <f>'Balance Sheet'!E33-'Balance Sheet'!F33</f>
        <v>-27570</v>
      </c>
      <c r="G14" s="5">
        <f>'Balance Sheet'!F33-'Balance Sheet'!G33</f>
        <v>1412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1782</v>
      </c>
      <c r="E15" s="4">
        <f>'Balance Sheet'!D34-'Balance Sheet'!E34</f>
        <v>-124</v>
      </c>
      <c r="F15" s="4">
        <f>'Balance Sheet'!E34-'Balance Sheet'!F34</f>
        <v>604</v>
      </c>
      <c r="G15" s="4">
        <f>'Balance Sheet'!F34-'Balance Sheet'!G34</f>
        <v>-65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-10545</v>
      </c>
      <c r="E16" s="5">
        <f>'Balance Sheet'!D35-'Balance Sheet'!E35</f>
        <v>-8443</v>
      </c>
      <c r="F16" s="5">
        <f>'Balance Sheet'!E35-'Balance Sheet'!F35</f>
        <v>-42220</v>
      </c>
      <c r="G16" s="5">
        <f>'Balance Sheet'!F35-'Balance Sheet'!G35</f>
        <v>31242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-6724</v>
      </c>
      <c r="E17" s="5">
        <f>'Balance Sheet'!D36-'Balance Sheet'!E36</f>
        <v>-6342</v>
      </c>
      <c r="F17" s="5">
        <f>'Balance Sheet'!E36-'Balance Sheet'!F36</f>
        <v>-7769</v>
      </c>
      <c r="G17" s="5">
        <f>'Balance Sheet'!F36-'Balance Sheet'!G36</f>
        <v>-26106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-12534</v>
      </c>
      <c r="E18" s="5">
        <f>'Balance Sheet'!D37-'Balance Sheet'!E37</f>
        <v>10433</v>
      </c>
      <c r="F18" s="5">
        <f>'Balance Sheet'!E37-'Balance Sheet'!F37</f>
        <v>642</v>
      </c>
      <c r="G18" s="5">
        <f>'Balance Sheet'!F37-'Balance Sheet'!G37</f>
        <v>-4626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-50</v>
      </c>
      <c r="E20" s="5">
        <f>'Balance Sheet'!E14-'Balance Sheet'!D14</f>
        <v>-1066</v>
      </c>
      <c r="F20" s="5">
        <f>'Balance Sheet'!F14-'Balance Sheet'!E14</f>
        <v>835</v>
      </c>
      <c r="G20" s="5">
        <f>'Balance Sheet'!G14-'Balance Sheet'!F14</f>
        <v>-772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94</v>
      </c>
      <c r="E21" s="5">
        <f>'Balance Sheet'!E15-'Balance Sheet'!D15</f>
        <v>564</v>
      </c>
      <c r="F21" s="5">
        <f>'Balance Sheet'!F15-'Balance Sheet'!E15</f>
        <v>614</v>
      </c>
      <c r="G21" s="5">
        <f>'Balance Sheet'!G15-'Balance Sheet'!F15</f>
        <v>-568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655</v>
      </c>
      <c r="E22" s="5">
        <f>'Balance Sheet'!E16-'Balance Sheet'!D16</f>
        <v>8701</v>
      </c>
      <c r="F22" s="5">
        <f>'Balance Sheet'!F16-'Balance Sheet'!E16</f>
        <v>2795</v>
      </c>
      <c r="G22" s="5">
        <f>'Balance Sheet'!G16-'Balance Sheet'!F16</f>
        <v>21920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1448</v>
      </c>
      <c r="E23" s="5">
        <f>'Balance Sheet'!E17-'Balance Sheet'!D17</f>
        <v>-11510</v>
      </c>
      <c r="F23" s="5">
        <f>'Balance Sheet'!F17-'Balance Sheet'!E17</f>
        <v>12098</v>
      </c>
      <c r="G23" s="5">
        <f>'Balance Sheet'!G17-'Balance Sheet'!F17</f>
        <v>50433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-25079</v>
      </c>
      <c r="E24" s="5">
        <f>'Balance Sheet'!E18-'Balance Sheet'!D18</f>
        <v>77189</v>
      </c>
      <c r="F24" s="5">
        <f>'Balance Sheet'!F18-'Balance Sheet'!E18</f>
        <v>-114354</v>
      </c>
      <c r="G24" s="5">
        <f>'Balance Sheet'!G18-'Balance Sheet'!F18</f>
        <v>-37296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15390</v>
      </c>
      <c r="E26" s="5">
        <f>'Income Statement'!E26</f>
        <v>13726</v>
      </c>
      <c r="F26" s="5">
        <f>'Income Statement'!F26</f>
        <v>1722</v>
      </c>
      <c r="G26" s="5">
        <f>'Income Statement'!G26</f>
        <v>16297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125566</v>
      </c>
      <c r="E27" s="7">
        <f t="shared" ref="E27:G27" si="1">E12+E13+E14+E15+E16+E17+E18+E20+E21+E22+E23+E24-E26+E10+E5</f>
        <v>248322</v>
      </c>
      <c r="F27" s="7">
        <f t="shared" si="1"/>
        <v>23130</v>
      </c>
      <c r="G27" s="7">
        <f t="shared" si="1"/>
        <v>247701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13916</v>
      </c>
      <c r="E29" s="5">
        <f>'Balance Sheet'!D23-'Balance Sheet'!E23</f>
        <v>-133805</v>
      </c>
      <c r="F29" s="5">
        <f>'Balance Sheet'!E23-'Balance Sheet'!F23</f>
        <v>-15146</v>
      </c>
      <c r="G29" s="5">
        <f>'Balance Sheet'!F23-'Balance Sheet'!G23</f>
        <v>-336229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-2221</v>
      </c>
      <c r="E30" s="5">
        <f>'Balance Sheet'!D24-'Balance Sheet'!E24</f>
        <v>-2217</v>
      </c>
      <c r="F30" s="5">
        <f>'Balance Sheet'!E24-'Balance Sheet'!F24</f>
        <v>6499</v>
      </c>
      <c r="G30" s="5">
        <f>'Balance Sheet'!F24-'Balance Sheet'!G24</f>
        <v>79980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-139353</v>
      </c>
      <c r="E31" s="5">
        <f>'Balance Sheet'!D27-'Balance Sheet'!E27</f>
        <v>-39240</v>
      </c>
      <c r="F31" s="5">
        <f>'Balance Sheet'!E27-'Balance Sheet'!F27</f>
        <v>-8530</v>
      </c>
      <c r="G31" s="5">
        <f>'Balance Sheet'!F27-'Balance Sheet'!G27</f>
        <v>-73764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-13420</v>
      </c>
      <c r="E32" s="5">
        <f>'Balance Sheet'!D28-'Balance Sheet'!E28</f>
        <v>-1892</v>
      </c>
      <c r="F32" s="5">
        <f>'Balance Sheet'!E28-'Balance Sheet'!F28</f>
        <v>-79531</v>
      </c>
      <c r="G32" s="5">
        <f>'Balance Sheet'!F28-'Balance Sheet'!G28</f>
        <v>44328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42642</v>
      </c>
      <c r="E33" s="5">
        <f>'Balance Sheet'!D29-'Balance Sheet'!E29</f>
        <v>91082</v>
      </c>
      <c r="F33" s="5">
        <f>'Balance Sheet'!E29-'Balance Sheet'!F29</f>
        <v>-12075</v>
      </c>
      <c r="G33" s="5">
        <f>'Balance Sheet'!F29-'Balance Sheet'!G29</f>
        <v>71171</v>
      </c>
    </row>
    <row r="34" spans="2:7" ht="18.75" x14ac:dyDescent="0.25">
      <c r="B34" s="8" t="s">
        <v>59</v>
      </c>
      <c r="C34" s="4"/>
      <c r="D34" s="5">
        <f>'Income Statement'!D8</f>
        <v>8386</v>
      </c>
      <c r="E34" s="5">
        <f>'Income Statement'!E8</f>
        <v>13164</v>
      </c>
      <c r="F34" s="5">
        <f>'Income Statement'!F8</f>
        <v>16327</v>
      </c>
      <c r="G34" s="5">
        <f>'Income Statement'!G8</f>
        <v>14947</v>
      </c>
    </row>
    <row r="35" spans="2:7" ht="18.75" x14ac:dyDescent="0.25">
      <c r="B35" s="9" t="s">
        <v>137</v>
      </c>
      <c r="C35" s="6"/>
      <c r="D35" s="7">
        <f>D29+D30+D31+D32+D33+D34</f>
        <v>-90050</v>
      </c>
      <c r="E35" s="7">
        <f t="shared" ref="E35:G35" si="2">E29+E30+E31+E32+E33+E34</f>
        <v>-72908</v>
      </c>
      <c r="F35" s="7">
        <f t="shared" si="2"/>
        <v>-92456</v>
      </c>
      <c r="G35" s="7">
        <f t="shared" si="2"/>
        <v>-199567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4</v>
      </c>
      <c r="E37" s="5">
        <f>'Balance Sheet'!E5-'Balance Sheet'!D5</f>
        <v>413</v>
      </c>
      <c r="F37" s="5">
        <f>'Balance Sheet'!F5-'Balance Sheet'!E5</f>
        <v>106</v>
      </c>
      <c r="G37" s="5">
        <f>'Balance Sheet'!G5-'Balance Sheet'!F5</f>
        <v>320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63331</v>
      </c>
      <c r="E39" s="5">
        <f>'Balance Sheet'!E10-'Balance Sheet'!D10</f>
        <v>-9875</v>
      </c>
      <c r="F39" s="5">
        <f>'Balance Sheet'!F10-'Balance Sheet'!E10</f>
        <v>-33948</v>
      </c>
      <c r="G39" s="5">
        <f>'Balance Sheet'!G10-'Balance Sheet'!F10</f>
        <v>24016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20305</v>
      </c>
      <c r="E40" s="5">
        <f>'Balance Sheet'!E11-'Balance Sheet'!D11</f>
        <v>4200</v>
      </c>
      <c r="F40" s="5">
        <f>'Balance Sheet'!F11-'Balance Sheet'!E11</f>
        <v>-17122</v>
      </c>
      <c r="G40" s="5">
        <f>'Balance Sheet'!G11-'Balance Sheet'!F11</f>
        <v>12643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27007</v>
      </c>
      <c r="E41" s="5">
        <f>'Balance Sheet'!E12-'Balance Sheet'!D12</f>
        <v>29350</v>
      </c>
      <c r="F41" s="5">
        <f>'Balance Sheet'!F12-'Balance Sheet'!E12</f>
        <v>-33705</v>
      </c>
      <c r="G41" s="5">
        <f>'Balance Sheet'!G12-'Balance Sheet'!F12</f>
        <v>18525</v>
      </c>
    </row>
    <row r="42" spans="2:7" ht="18.75" x14ac:dyDescent="0.25">
      <c r="B42" s="8" t="str">
        <f>'Balance Sheet'!B20:G20</f>
        <v>Minority Interest</v>
      </c>
      <c r="C42" s="4"/>
      <c r="D42" s="5">
        <f>'Balance Sheet'!D20-'Balance Sheet'!C20</f>
        <v>4741</v>
      </c>
      <c r="E42" s="5">
        <f>'Balance Sheet'!E20-'Balance Sheet'!D20</f>
        <v>3901</v>
      </c>
      <c r="F42" s="5">
        <f>'Balance Sheet'!F20-'Balance Sheet'!E20</f>
        <v>87079</v>
      </c>
      <c r="G42" s="5">
        <f>'Balance Sheet'!G20-'Balance Sheet'!F20</f>
        <v>10239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3554</v>
      </c>
      <c r="E44" s="5">
        <f>'Income Statement'!E28</f>
        <v>3852</v>
      </c>
      <c r="F44" s="5">
        <f>'Income Statement'!F28</f>
        <v>3921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728</v>
      </c>
      <c r="E45" s="4">
        <f>'Income Statement'!E29</f>
        <v>732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16495</v>
      </c>
      <c r="E46" s="5">
        <f>'Income Statement'!E20</f>
        <v>22027</v>
      </c>
      <c r="F46" s="5">
        <f>'Income Statement'!F20</f>
        <v>21189</v>
      </c>
      <c r="G46" s="5">
        <f>'Income Statement'!G20</f>
        <v>14584</v>
      </c>
    </row>
    <row r="47" spans="2:7" ht="18.75" x14ac:dyDescent="0.25">
      <c r="B47" s="9" t="s">
        <v>141</v>
      </c>
      <c r="C47" s="6"/>
      <c r="D47" s="7">
        <f>D37+D38+D39+D40+D41+D42-D44-D45-D46</f>
        <v>94611</v>
      </c>
      <c r="E47" s="7">
        <f t="shared" ref="E47:G47" si="3">E37+E38+E39+E40+E41+E42-E44-E45-E46</f>
        <v>1378</v>
      </c>
      <c r="F47" s="7">
        <f t="shared" si="3"/>
        <v>-22700</v>
      </c>
      <c r="G47" s="7">
        <f t="shared" si="3"/>
        <v>51159</v>
      </c>
    </row>
    <row r="48" spans="2:7" ht="18.75" x14ac:dyDescent="0.25">
      <c r="B48" s="9" t="s">
        <v>142</v>
      </c>
      <c r="C48" s="6"/>
      <c r="D48" s="7">
        <f>D27+D35+D47</f>
        <v>130127</v>
      </c>
      <c r="E48" s="7">
        <f t="shared" ref="E48:G48" si="4">E27+E35+E47</f>
        <v>176792</v>
      </c>
      <c r="F48" s="7">
        <f t="shared" si="4"/>
        <v>-92026</v>
      </c>
      <c r="G48" s="7">
        <f t="shared" si="4"/>
        <v>99293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32150-145C-4CEF-8A0D-5EC5E9CF7B9F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4.85546875" bestFit="1" customWidth="1"/>
    <col min="4" max="7" width="16.425781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96039</v>
      </c>
      <c r="D6" s="16">
        <f>'Income Statement'!D27</f>
        <v>158984</v>
      </c>
      <c r="E6" s="16">
        <f>'Income Statement'!E27</f>
        <v>181989</v>
      </c>
      <c r="F6" s="16">
        <f>'Income Statement'!F27</f>
        <v>145020</v>
      </c>
      <c r="G6" s="16">
        <f>'Income Statement'!G27</f>
        <v>181693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1574.4098360655737</v>
      </c>
      <c r="D7" s="16">
        <f>'Income Statement'!D35</f>
        <v>2372.8955223880598</v>
      </c>
      <c r="E7" s="16">
        <f>'Income Statement'!E35</f>
        <v>2888.7142857142858</v>
      </c>
      <c r="F7" s="16">
        <f>'Income Statement'!F35</f>
        <v>1908.1578947368421</v>
      </c>
      <c r="G7" s="16">
        <f>'Income Statement'!G35</f>
        <v>1974.9239130434783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61</v>
      </c>
      <c r="D8" s="17">
        <f t="shared" ref="D8:G8" si="0">ROUND(D6/D7, 2)</f>
        <v>67</v>
      </c>
      <c r="E8" s="17">
        <f t="shared" si="0"/>
        <v>63</v>
      </c>
      <c r="F8" s="17">
        <f t="shared" si="0"/>
        <v>76</v>
      </c>
      <c r="G8" s="17">
        <f t="shared" si="0"/>
        <v>92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3255</v>
      </c>
      <c r="D11" s="16">
        <f>'Income Statement'!D28</f>
        <v>3554</v>
      </c>
      <c r="E11" s="16">
        <f>'Income Statement'!E28</f>
        <v>3852</v>
      </c>
      <c r="F11" s="16">
        <f>'Income Statement'!F28</f>
        <v>3921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1574.4098360655737</v>
      </c>
      <c r="D12" s="16">
        <f>'Income Statement'!D35</f>
        <v>2372.8955223880598</v>
      </c>
      <c r="E12" s="16">
        <f>'Income Statement'!E35</f>
        <v>2888.7142857142858</v>
      </c>
      <c r="F12" s="16">
        <f>'Income Statement'!F35</f>
        <v>1908.1578947368421</v>
      </c>
      <c r="G12" s="16">
        <f>'Income Statement'!G35</f>
        <v>1974.9239130434783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2.0699999999999998</v>
      </c>
      <c r="D13" s="17">
        <f t="shared" ref="D13:G13" si="1">ROUND(D11/D12, 2)</f>
        <v>1.5</v>
      </c>
      <c r="E13" s="17">
        <f t="shared" si="1"/>
        <v>1.33</v>
      </c>
      <c r="F13" s="17">
        <f t="shared" si="1"/>
        <v>2.0499999999999998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293491</v>
      </c>
      <c r="D16" s="16">
        <f>'Balance Sheet'!D9</f>
        <v>448197</v>
      </c>
      <c r="E16" s="16">
        <f>'Balance Sheet'!E9</f>
        <v>626015</v>
      </c>
      <c r="F16" s="16">
        <f>'Balance Sheet'!F9</f>
        <v>767220</v>
      </c>
      <c r="G16" s="16">
        <f>'Balance Sheet'!G9</f>
        <v>949233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1574.4098360655737</v>
      </c>
      <c r="D17" s="16">
        <f>'Income Statement'!D35</f>
        <v>2372.8955223880598</v>
      </c>
      <c r="E17" s="16">
        <f>'Income Statement'!E35</f>
        <v>2888.7142857142858</v>
      </c>
      <c r="F17" s="16">
        <f>'Income Statement'!F35</f>
        <v>1908.1578947368421</v>
      </c>
      <c r="G17" s="16">
        <f>'Income Statement'!G35</f>
        <v>1974.9239130434783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186.41</v>
      </c>
      <c r="D18" s="17">
        <f t="shared" ref="D18:G18" si="2">ROUND(D16/D17, 2)</f>
        <v>188.88</v>
      </c>
      <c r="E18" s="17">
        <f t="shared" si="2"/>
        <v>216.71</v>
      </c>
      <c r="F18" s="17">
        <f t="shared" si="2"/>
        <v>402.07</v>
      </c>
      <c r="G18" s="17">
        <f t="shared" si="2"/>
        <v>480.64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3255</v>
      </c>
      <c r="D21" s="16">
        <f>'Income Statement'!D28</f>
        <v>3554</v>
      </c>
      <c r="E21" s="16">
        <f>'Income Statement'!E28</f>
        <v>3852</v>
      </c>
      <c r="F21" s="16">
        <f>'Income Statement'!F28</f>
        <v>3921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1574.4098360655737</v>
      </c>
      <c r="D22" s="16">
        <f>'Income Statement'!D35</f>
        <v>2372.8955223880598</v>
      </c>
      <c r="E22" s="16">
        <f>'Income Statement'!E35</f>
        <v>2888.7142857142858</v>
      </c>
      <c r="F22" s="16">
        <f>'Income Statement'!F35</f>
        <v>1908.1578947368421</v>
      </c>
      <c r="G22" s="16">
        <f>'Income Statement'!G35</f>
        <v>1974.9239130434783</v>
      </c>
    </row>
    <row r="23" spans="2:12" ht="18.75" x14ac:dyDescent="0.25">
      <c r="B23" s="15" t="s">
        <v>148</v>
      </c>
      <c r="C23" s="16">
        <f>ROUND(C21/C22, 2)</f>
        <v>2.0699999999999998</v>
      </c>
      <c r="D23" s="16">
        <f t="shared" ref="D23:G23" si="3">ROUND(D21/D22, 2)</f>
        <v>1.5</v>
      </c>
      <c r="E23" s="16">
        <f t="shared" si="3"/>
        <v>1.33</v>
      </c>
      <c r="F23" s="16">
        <f t="shared" si="3"/>
        <v>2.0499999999999998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96039</v>
      </c>
      <c r="D24" s="16">
        <f>'Income Statement'!D27</f>
        <v>158984</v>
      </c>
      <c r="E24" s="16">
        <f>'Income Statement'!E27</f>
        <v>181989</v>
      </c>
      <c r="F24" s="16">
        <f>'Income Statement'!F27</f>
        <v>145020</v>
      </c>
      <c r="G24" s="16">
        <f>'Income Statement'!G27</f>
        <v>181693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1574.4098360655737</v>
      </c>
      <c r="D25" s="16">
        <f>'Income Statement'!D35</f>
        <v>2372.8955223880598</v>
      </c>
      <c r="E25" s="16">
        <f>'Income Statement'!E35</f>
        <v>2888.7142857142858</v>
      </c>
      <c r="F25" s="16">
        <f>'Income Statement'!F35</f>
        <v>1908.1578947368421</v>
      </c>
      <c r="G25" s="16">
        <f>'Income Statement'!G35</f>
        <v>1974.9239130434783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61</v>
      </c>
      <c r="D26" s="16">
        <f t="shared" ref="D26:G26" si="4">D24/D25</f>
        <v>67</v>
      </c>
      <c r="E26" s="16">
        <f t="shared" si="4"/>
        <v>63</v>
      </c>
      <c r="F26" s="16">
        <f t="shared" si="4"/>
        <v>76</v>
      </c>
      <c r="G26" s="16">
        <f t="shared" si="4"/>
        <v>92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0.03</v>
      </c>
      <c r="D27" s="17">
        <f t="shared" ref="D27:G27" si="5">ROUND(D23/D26, 2)</f>
        <v>0.02</v>
      </c>
      <c r="E27" s="17">
        <f t="shared" si="5"/>
        <v>0.02</v>
      </c>
      <c r="F27" s="17">
        <f t="shared" si="5"/>
        <v>0.03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3255</v>
      </c>
      <c r="D30" s="16">
        <f>'Income Statement'!D28</f>
        <v>3554</v>
      </c>
      <c r="E30" s="16">
        <f>'Income Statement'!E28</f>
        <v>3852</v>
      </c>
      <c r="F30" s="16">
        <f>'Income Statement'!F28</f>
        <v>3921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1574.4098360655737</v>
      </c>
      <c r="D31" s="16">
        <f>'Income Statement'!D35</f>
        <v>2372.8955223880598</v>
      </c>
      <c r="E31" s="16">
        <f>'Income Statement'!E35</f>
        <v>2888.7142857142858</v>
      </c>
      <c r="F31" s="16">
        <f>'Income Statement'!F35</f>
        <v>1908.1578947368421</v>
      </c>
      <c r="G31" s="16">
        <f>'Income Statement'!G35</f>
        <v>1974.9239130434783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2.0699999999999998</v>
      </c>
      <c r="D32" s="16">
        <f t="shared" ref="D32:G32" si="6">ROUND(D30/D31, 2)</f>
        <v>1.5</v>
      </c>
      <c r="E32" s="16">
        <f t="shared" si="6"/>
        <v>1.33</v>
      </c>
      <c r="F32" s="16">
        <f t="shared" si="6"/>
        <v>2.0499999999999998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-1.0699999999999998</v>
      </c>
      <c r="D33" s="27">
        <f t="shared" ref="D33:G33" si="7">1-D32</f>
        <v>-0.5</v>
      </c>
      <c r="E33" s="27">
        <f t="shared" si="7"/>
        <v>-0.33000000000000007</v>
      </c>
      <c r="F33" s="27">
        <f t="shared" si="7"/>
        <v>-1.0499999999999998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430731</v>
      </c>
      <c r="D36" s="16">
        <f>'Income Statement'!D5</f>
        <v>625212</v>
      </c>
      <c r="E36" s="16">
        <f>'Income Statement'!E5</f>
        <v>659997</v>
      </c>
      <c r="F36" s="16">
        <f>'Income Statement'!F5</f>
        <v>539238</v>
      </c>
      <c r="G36" s="16">
        <f>'Income Statement'!G5</f>
        <v>721634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207448</v>
      </c>
      <c r="D37" s="16">
        <f>'Income Statement'!D11</f>
        <v>275237</v>
      </c>
      <c r="E37" s="16">
        <f>'Income Statement'!E11</f>
        <v>260621</v>
      </c>
      <c r="F37" s="16">
        <f>'Income Statement'!F11</f>
        <v>199915</v>
      </c>
      <c r="G37" s="16">
        <f>'Income Statement'!G11</f>
        <v>360784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223283</v>
      </c>
      <c r="D38" s="28">
        <f t="shared" ref="D38:G38" si="8">ROUND(D36- D37, 2)</f>
        <v>349975</v>
      </c>
      <c r="E38" s="28">
        <f t="shared" si="8"/>
        <v>399376</v>
      </c>
      <c r="F38" s="28">
        <f t="shared" si="8"/>
        <v>339323</v>
      </c>
      <c r="G38" s="28">
        <f t="shared" si="8"/>
        <v>360850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430731</v>
      </c>
      <c r="D41" s="16">
        <f>'Income Statement'!D5</f>
        <v>625212</v>
      </c>
      <c r="E41" s="16">
        <f>'Income Statement'!E5</f>
        <v>659997</v>
      </c>
      <c r="F41" s="16">
        <f>'Income Statement'!F5</f>
        <v>539238</v>
      </c>
      <c r="G41" s="16">
        <f>'Income Statement'!G5</f>
        <v>721634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267483</v>
      </c>
      <c r="D42" s="16">
        <f>'Income Statement'!D15</f>
        <v>365792</v>
      </c>
      <c r="E42" s="16">
        <f>'Income Statement'!E15</f>
        <v>366310</v>
      </c>
      <c r="F42" s="16">
        <f>'Income Statement'!F15</f>
        <v>294390</v>
      </c>
      <c r="G42" s="16">
        <f>'Income Statement'!G15</f>
        <v>497046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163248</v>
      </c>
      <c r="D43" s="28">
        <f t="shared" ref="D43:G43" si="9">ROUND(D41- D42, 2)</f>
        <v>259420</v>
      </c>
      <c r="E43" s="28">
        <f t="shared" si="9"/>
        <v>293687</v>
      </c>
      <c r="F43" s="28">
        <f t="shared" si="9"/>
        <v>244848</v>
      </c>
      <c r="G43" s="28">
        <f t="shared" si="9"/>
        <v>224588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96039</v>
      </c>
      <c r="D46" s="16">
        <f>'Income Statement'!D27</f>
        <v>158984</v>
      </c>
      <c r="E46" s="16">
        <f>'Income Statement'!E27</f>
        <v>181989</v>
      </c>
      <c r="F46" s="16">
        <f>'Income Statement'!F27</f>
        <v>145020</v>
      </c>
      <c r="G46" s="16">
        <f>'Income Statement'!G27</f>
        <v>181693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816333</v>
      </c>
      <c r="D47" s="16">
        <f>'Balance Sheet'!D40</f>
        <v>1063491</v>
      </c>
      <c r="E47" s="16">
        <f>'Balance Sheet'!E40</f>
        <v>1342763</v>
      </c>
      <c r="F47" s="16">
        <f>'Balance Sheet'!F40</f>
        <v>1388260</v>
      </c>
      <c r="G47" s="16">
        <f>'Balance Sheet'!G40</f>
        <v>1669413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0.12</v>
      </c>
      <c r="D48" s="27">
        <f t="shared" ref="D48:G48" si="10">ROUND(D46/ D47, 2)</f>
        <v>0.15</v>
      </c>
      <c r="E48" s="27">
        <f t="shared" si="10"/>
        <v>0.14000000000000001</v>
      </c>
      <c r="F48" s="27">
        <f t="shared" si="10"/>
        <v>0.1</v>
      </c>
      <c r="G48" s="27">
        <f t="shared" si="10"/>
        <v>0.11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117437</v>
      </c>
      <c r="D51" s="16">
        <f>'Income Statement'!D19</f>
        <v>190869</v>
      </c>
      <c r="E51" s="16">
        <f>'Income Statement'!E19</f>
        <v>222186</v>
      </c>
      <c r="F51" s="16">
        <f>'Income Statement'!F19</f>
        <v>162289</v>
      </c>
      <c r="G51" s="16">
        <f>'Income Statement'!G19</f>
        <v>209738</v>
      </c>
    </row>
    <row r="52" spans="2:12" ht="19.5" thickTop="1" x14ac:dyDescent="0.25">
      <c r="B52" s="15" t="str">
        <f>'Balance Sheet'!B13</f>
        <v>Total Debt</v>
      </c>
      <c r="C52" s="16">
        <f>'Balance Sheet'!C13</f>
        <v>211222</v>
      </c>
      <c r="D52" s="16">
        <f>'Balance Sheet'!D13</f>
        <v>321865</v>
      </c>
      <c r="E52" s="16">
        <f>'Balance Sheet'!E13</f>
        <v>345540</v>
      </c>
      <c r="F52" s="16">
        <f>'Balance Sheet'!F13</f>
        <v>260765</v>
      </c>
      <c r="G52" s="16">
        <f>'Balance Sheet'!G13</f>
        <v>315949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293491</v>
      </c>
      <c r="D53" s="16">
        <f>'Balance Sheet'!D9</f>
        <v>448197</v>
      </c>
      <c r="E53" s="16">
        <f>'Balance Sheet'!E9</f>
        <v>626015</v>
      </c>
      <c r="F53" s="16">
        <f>'Balance Sheet'!F9</f>
        <v>767220</v>
      </c>
      <c r="G53" s="16">
        <f>'Balance Sheet'!G9</f>
        <v>949233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0.28000000000000003</v>
      </c>
      <c r="D54" s="27">
        <f t="shared" ref="D54:G54" si="11">ROUND(D51/ (D52+ D52), 2)</f>
        <v>0.3</v>
      </c>
      <c r="E54" s="27">
        <f t="shared" si="11"/>
        <v>0.32</v>
      </c>
      <c r="F54" s="27">
        <f t="shared" si="11"/>
        <v>0.31</v>
      </c>
      <c r="G54" s="27">
        <f t="shared" si="11"/>
        <v>0.33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96039</v>
      </c>
      <c r="D57" s="16">
        <f>'Income Statement'!D27</f>
        <v>158984</v>
      </c>
      <c r="E57" s="16">
        <f>'Income Statement'!E27</f>
        <v>181989</v>
      </c>
      <c r="F57" s="16">
        <f>'Income Statement'!F27</f>
        <v>145020</v>
      </c>
      <c r="G57" s="16">
        <f>'Income Statement'!G27</f>
        <v>181693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293491</v>
      </c>
      <c r="D58" s="16">
        <f>'Balance Sheet'!D9</f>
        <v>448197</v>
      </c>
      <c r="E58" s="16">
        <f>'Balance Sheet'!E9</f>
        <v>626015</v>
      </c>
      <c r="F58" s="16">
        <f>'Balance Sheet'!F9</f>
        <v>767220</v>
      </c>
      <c r="G58" s="16">
        <f>'Balance Sheet'!G9</f>
        <v>949233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0.16</v>
      </c>
      <c r="D59" s="27">
        <f t="shared" ref="D59:G59" si="12">ROUND(D57/ (D58+ D58), 2)</f>
        <v>0.18</v>
      </c>
      <c r="E59" s="27">
        <f t="shared" si="12"/>
        <v>0.15</v>
      </c>
      <c r="F59" s="27">
        <f t="shared" si="12"/>
        <v>0.09</v>
      </c>
      <c r="G59" s="27">
        <f t="shared" si="12"/>
        <v>0.1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211222</v>
      </c>
      <c r="D62" s="16">
        <f>'Balance Sheet'!D13</f>
        <v>321865</v>
      </c>
      <c r="E62" s="16">
        <f>'Balance Sheet'!E13</f>
        <v>345540</v>
      </c>
      <c r="F62" s="16">
        <f>'Balance Sheet'!F13</f>
        <v>260765</v>
      </c>
      <c r="G62" s="16">
        <f>'Balance Sheet'!G13</f>
        <v>315949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293491</v>
      </c>
      <c r="D63" s="16">
        <f>'Balance Sheet'!D9</f>
        <v>448197</v>
      </c>
      <c r="E63" s="16">
        <f>'Balance Sheet'!E9</f>
        <v>626015</v>
      </c>
      <c r="F63" s="16">
        <f>'Balance Sheet'!F9</f>
        <v>767220</v>
      </c>
      <c r="G63" s="16">
        <f>'Balance Sheet'!G9</f>
        <v>949233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0.72</v>
      </c>
      <c r="D64" s="17">
        <f t="shared" ref="D64:G64" si="13">ROUND(D62/ D63, 2)</f>
        <v>0.72</v>
      </c>
      <c r="E64" s="17">
        <f t="shared" si="13"/>
        <v>0.55000000000000004</v>
      </c>
      <c r="F64" s="17">
        <f t="shared" si="13"/>
        <v>0.34</v>
      </c>
      <c r="G64" s="17">
        <f t="shared" si="13"/>
        <v>0.33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142579</v>
      </c>
      <c r="D67" s="16">
        <f>'Balance Sheet'!D39</f>
        <v>312235</v>
      </c>
      <c r="E67" s="16">
        <f>'Balance Sheet'!E39</f>
        <v>527638</v>
      </c>
      <c r="F67" s="16">
        <f>'Balance Sheet'!F39</f>
        <v>490924</v>
      </c>
      <c r="G67" s="16">
        <f>'Balance Sheet'!G39</f>
        <v>587360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308081</v>
      </c>
      <c r="D68" s="16">
        <f>'Balance Sheet'!D19</f>
        <v>285149</v>
      </c>
      <c r="E68" s="16">
        <f>'Balance Sheet'!E19</f>
        <v>359027</v>
      </c>
      <c r="F68" s="16">
        <f>'Balance Sheet'!F19</f>
        <v>261015</v>
      </c>
      <c r="G68" s="16">
        <f>'Balance Sheet'!G19</f>
        <v>294732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0.46</v>
      </c>
      <c r="D69" s="17">
        <f t="shared" ref="D69:G69" si="14">ROUND(D67/ D68, 2)</f>
        <v>1.0900000000000001</v>
      </c>
      <c r="E69" s="17">
        <f t="shared" si="14"/>
        <v>1.47</v>
      </c>
      <c r="F69" s="17">
        <f t="shared" si="14"/>
        <v>1.88</v>
      </c>
      <c r="G69" s="17">
        <f t="shared" si="14"/>
        <v>1.99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142579</v>
      </c>
      <c r="D72" s="16">
        <f>'Balance Sheet'!D39</f>
        <v>312235</v>
      </c>
      <c r="E72" s="16">
        <f>'Balance Sheet'!E39</f>
        <v>527638</v>
      </c>
      <c r="F72" s="16">
        <f>'Balance Sheet'!F39</f>
        <v>490924</v>
      </c>
      <c r="G72" s="16">
        <f>'Balance Sheet'!G39</f>
        <v>587360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60837</v>
      </c>
      <c r="D73" s="16">
        <f>'Balance Sheet'!D36</f>
        <v>67561</v>
      </c>
      <c r="E73" s="16">
        <f>'Balance Sheet'!E36</f>
        <v>73903</v>
      </c>
      <c r="F73" s="16">
        <f>'Balance Sheet'!F36</f>
        <v>81672</v>
      </c>
      <c r="G73" s="16">
        <f>'Balance Sheet'!G36</f>
        <v>107778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308081</v>
      </c>
      <c r="D74" s="16">
        <f>'Balance Sheet'!D19</f>
        <v>285149</v>
      </c>
      <c r="E74" s="16">
        <f>'Balance Sheet'!E19</f>
        <v>359027</v>
      </c>
      <c r="F74" s="16">
        <f>'Balance Sheet'!F19</f>
        <v>261015</v>
      </c>
      <c r="G74" s="16">
        <f>'Balance Sheet'!G19</f>
        <v>294732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0.27</v>
      </c>
      <c r="D75" s="17">
        <f t="shared" ref="D75:G75" si="15">ROUND((D72-D73)/ D74, 2)</f>
        <v>0.86</v>
      </c>
      <c r="E75" s="17">
        <f t="shared" si="15"/>
        <v>1.26</v>
      </c>
      <c r="F75" s="17">
        <f t="shared" si="15"/>
        <v>1.57</v>
      </c>
      <c r="G75" s="17">
        <f t="shared" si="15"/>
        <v>1.63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117437</v>
      </c>
      <c r="D78" s="16">
        <f>'Income Statement'!D19</f>
        <v>190869</v>
      </c>
      <c r="E78" s="16">
        <f>'Income Statement'!E19</f>
        <v>222186</v>
      </c>
      <c r="F78" s="16">
        <f>'Income Statement'!F19</f>
        <v>162289</v>
      </c>
      <c r="G78" s="16">
        <f>'Income Statement'!G19</f>
        <v>209738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8052</v>
      </c>
      <c r="D79" s="16">
        <f>'Income Statement'!D20</f>
        <v>16495</v>
      </c>
      <c r="E79" s="16">
        <f>'Income Statement'!E20</f>
        <v>22027</v>
      </c>
      <c r="F79" s="16">
        <f>'Income Statement'!F20</f>
        <v>21189</v>
      </c>
      <c r="G79" s="16">
        <f>'Income Statement'!G20</f>
        <v>14584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14.58</v>
      </c>
      <c r="D80" s="17">
        <f t="shared" ref="D80:G80" si="16">ROUND(D78/D79, 2)</f>
        <v>11.57</v>
      </c>
      <c r="E80" s="17">
        <f t="shared" si="16"/>
        <v>10.09</v>
      </c>
      <c r="F80" s="17">
        <f t="shared" si="16"/>
        <v>7.66</v>
      </c>
      <c r="G80" s="17">
        <f t="shared" si="16"/>
        <v>14.38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207448</v>
      </c>
      <c r="D83" s="16">
        <f>'Income Statement'!D11</f>
        <v>275237</v>
      </c>
      <c r="E83" s="16">
        <f>'Income Statement'!E11</f>
        <v>260621</v>
      </c>
      <c r="F83" s="16">
        <f>'Income Statement'!F11</f>
        <v>199915</v>
      </c>
      <c r="G83" s="16">
        <f>'Income Statement'!G11</f>
        <v>360784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391677</v>
      </c>
      <c r="D84" s="16">
        <f>'Income Statement'!D7</f>
        <v>569209</v>
      </c>
      <c r="E84" s="16">
        <f>'Income Statement'!E7</f>
        <v>597535</v>
      </c>
      <c r="F84" s="16">
        <f>'Income Statement'!F7</f>
        <v>466924</v>
      </c>
      <c r="G84" s="16">
        <f>'Income Statement'!G7</f>
        <v>721634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0.53</v>
      </c>
      <c r="D85" s="17">
        <f t="shared" ref="D85:G85" si="17">ROUND(D83/D84, 2)</f>
        <v>0.48</v>
      </c>
      <c r="E85" s="17">
        <f t="shared" si="17"/>
        <v>0.44</v>
      </c>
      <c r="F85" s="17">
        <f t="shared" si="17"/>
        <v>0.43</v>
      </c>
      <c r="G85" s="17">
        <f t="shared" si="17"/>
        <v>0.5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4255</v>
      </c>
      <c r="D88" s="16">
        <f>'Balance Sheet'!D38</f>
        <v>134382</v>
      </c>
      <c r="E88" s="16">
        <f>'Balance Sheet'!E38</f>
        <v>311174</v>
      </c>
      <c r="F88" s="16">
        <f>'Balance Sheet'!F38</f>
        <v>219148</v>
      </c>
      <c r="G88" s="16">
        <f>'Balance Sheet'!G38</f>
        <v>318441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207448</v>
      </c>
      <c r="D89" s="16">
        <f>'Income Statement'!D11</f>
        <v>275237</v>
      </c>
      <c r="E89" s="16">
        <f>'Income Statement'!E11</f>
        <v>260621</v>
      </c>
      <c r="F89" s="16">
        <f>'Income Statement'!F11</f>
        <v>199915</v>
      </c>
      <c r="G89" s="16">
        <f>'Income Statement'!G11</f>
        <v>360784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7.49</v>
      </c>
      <c r="D90" s="17">
        <f t="shared" ref="D90:G90" si="18">ROUND(D88/D89*365, 2)</f>
        <v>178.21</v>
      </c>
      <c r="E90" s="17">
        <f t="shared" si="18"/>
        <v>435.8</v>
      </c>
      <c r="F90" s="17">
        <f t="shared" si="18"/>
        <v>400.12</v>
      </c>
      <c r="G90" s="17">
        <f t="shared" si="18"/>
        <v>322.16000000000003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4255</v>
      </c>
      <c r="D93" s="16">
        <f>'Balance Sheet'!D38</f>
        <v>134382</v>
      </c>
      <c r="E93" s="16">
        <f>'Balance Sheet'!E38</f>
        <v>311174</v>
      </c>
      <c r="F93" s="16">
        <f>'Balance Sheet'!F38</f>
        <v>219148</v>
      </c>
      <c r="G93" s="16">
        <f>'Balance Sheet'!G38</f>
        <v>318441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4255</v>
      </c>
      <c r="D95" s="17">
        <f t="shared" ref="D95:G95" si="19">ROUND(D93/D94*365, 2)</f>
        <v>134382</v>
      </c>
      <c r="E95" s="17">
        <f t="shared" si="19"/>
        <v>311174</v>
      </c>
      <c r="F95" s="17">
        <f t="shared" si="19"/>
        <v>219148</v>
      </c>
      <c r="G95" s="17">
        <f t="shared" si="19"/>
        <v>318441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430731</v>
      </c>
      <c r="D98" s="16">
        <f>'Income Statement'!D5</f>
        <v>625212</v>
      </c>
      <c r="E98" s="16">
        <f>'Income Statement'!E5</f>
        <v>659997</v>
      </c>
      <c r="F98" s="16">
        <f>'Income Statement'!F5</f>
        <v>539238</v>
      </c>
      <c r="G98" s="16">
        <f>'Income Statement'!G5</f>
        <v>721634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816333</v>
      </c>
      <c r="D99" s="16">
        <f>'Balance Sheet'!D40</f>
        <v>1063491</v>
      </c>
      <c r="E99" s="16">
        <f>'Balance Sheet'!E40</f>
        <v>1342763</v>
      </c>
      <c r="F99" s="16">
        <f>'Balance Sheet'!F40</f>
        <v>1388260</v>
      </c>
      <c r="G99" s="16">
        <f>'Balance Sheet'!G40</f>
        <v>1669413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0.53</v>
      </c>
      <c r="D100" s="17">
        <f t="shared" ref="D100:G100" si="20">ROUND(D98/D99, 2)</f>
        <v>0.59</v>
      </c>
      <c r="E100" s="17">
        <f t="shared" si="20"/>
        <v>0.49</v>
      </c>
      <c r="F100" s="17">
        <f t="shared" si="20"/>
        <v>0.39</v>
      </c>
      <c r="G100" s="17">
        <f t="shared" si="20"/>
        <v>0.43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430731</v>
      </c>
      <c r="D103" s="16">
        <f>'Income Statement'!D5</f>
        <v>625212</v>
      </c>
      <c r="E103" s="16">
        <f>'Income Statement'!E5</f>
        <v>659997</v>
      </c>
      <c r="F103" s="16">
        <f>'Income Statement'!F5</f>
        <v>539238</v>
      </c>
      <c r="G103" s="16">
        <f>'Income Statement'!G5</f>
        <v>721634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60837</v>
      </c>
      <c r="D104" s="16">
        <f>'Balance Sheet'!D36</f>
        <v>67561</v>
      </c>
      <c r="E104" s="16">
        <f>'Balance Sheet'!E36</f>
        <v>73903</v>
      </c>
      <c r="F104" s="16">
        <f>'Balance Sheet'!F36</f>
        <v>81672</v>
      </c>
      <c r="G104" s="16">
        <f>'Balance Sheet'!G36</f>
        <v>107778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7.08</v>
      </c>
      <c r="D105" s="17">
        <f t="shared" ref="D105:G105" si="21">ROUND(D103/D104, 2)</f>
        <v>9.25</v>
      </c>
      <c r="E105" s="17">
        <f t="shared" si="21"/>
        <v>8.93</v>
      </c>
      <c r="F105" s="17">
        <f t="shared" si="21"/>
        <v>6.6</v>
      </c>
      <c r="G105" s="17">
        <f t="shared" si="21"/>
        <v>6.7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430731</v>
      </c>
      <c r="D108" s="16">
        <f>'Income Statement'!D5</f>
        <v>625212</v>
      </c>
      <c r="E108" s="16">
        <f>'Income Statement'!E5</f>
        <v>659997</v>
      </c>
      <c r="F108" s="16">
        <f>'Income Statement'!F5</f>
        <v>539238</v>
      </c>
      <c r="G108" s="16">
        <f>'Income Statement'!G5</f>
        <v>721634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17555</v>
      </c>
      <c r="D109" s="16">
        <f>'Balance Sheet'!D37</f>
        <v>30089</v>
      </c>
      <c r="E109" s="16">
        <f>'Balance Sheet'!E37</f>
        <v>19656</v>
      </c>
      <c r="F109" s="16">
        <f>'Balance Sheet'!F37</f>
        <v>19014</v>
      </c>
      <c r="G109" s="16">
        <f>'Balance Sheet'!G37</f>
        <v>23640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24.54</v>
      </c>
      <c r="D110" s="17">
        <f t="shared" ref="D110:G110" si="22">ROUND(D108/D109, 2)</f>
        <v>20.78</v>
      </c>
      <c r="E110" s="17">
        <f t="shared" si="22"/>
        <v>33.58</v>
      </c>
      <c r="F110" s="17">
        <f t="shared" si="22"/>
        <v>28.36</v>
      </c>
      <c r="G110" s="17">
        <f t="shared" si="22"/>
        <v>30.53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430731</v>
      </c>
      <c r="D113" s="16">
        <f>'Income Statement'!D5</f>
        <v>625212</v>
      </c>
      <c r="E113" s="16">
        <f>'Income Statement'!E5</f>
        <v>659997</v>
      </c>
      <c r="F113" s="16">
        <f>'Income Statement'!F5</f>
        <v>539238</v>
      </c>
      <c r="G113" s="16">
        <f>'Income Statement'!G5</f>
        <v>721634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316031</v>
      </c>
      <c r="D114" s="16">
        <f>'Balance Sheet'!D23</f>
        <v>302115</v>
      </c>
      <c r="E114" s="16">
        <f>'Balance Sheet'!E23</f>
        <v>435920</v>
      </c>
      <c r="F114" s="16">
        <f>'Balance Sheet'!F23</f>
        <v>451066</v>
      </c>
      <c r="G114" s="16">
        <f>'Balance Sheet'!G23</f>
        <v>787295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1.36</v>
      </c>
      <c r="D115" s="17">
        <f t="shared" ref="D115:G115" si="23">ROUND(D113/D114, 2)</f>
        <v>2.0699999999999998</v>
      </c>
      <c r="E115" s="17">
        <f t="shared" si="23"/>
        <v>1.51</v>
      </c>
      <c r="F115" s="17">
        <f t="shared" si="23"/>
        <v>1.2</v>
      </c>
      <c r="G115" s="17">
        <f t="shared" si="23"/>
        <v>0.92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207448</v>
      </c>
      <c r="D118" s="16">
        <f>'Income Statement'!D11</f>
        <v>275237</v>
      </c>
      <c r="E118" s="16">
        <f>'Income Statement'!E11</f>
        <v>260621</v>
      </c>
      <c r="F118" s="16">
        <f>'Income Statement'!F11</f>
        <v>199915</v>
      </c>
      <c r="G118" s="16">
        <f>'Income Statement'!G11</f>
        <v>360784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308081</v>
      </c>
      <c r="D119" s="16">
        <f>'Balance Sheet'!D19</f>
        <v>285149</v>
      </c>
      <c r="E119" s="16">
        <f>'Balance Sheet'!E19</f>
        <v>359027</v>
      </c>
      <c r="F119" s="16">
        <f>'Balance Sheet'!F19</f>
        <v>261015</v>
      </c>
      <c r="G119" s="16">
        <f>'Balance Sheet'!G19</f>
        <v>294732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0.67</v>
      </c>
      <c r="D120" s="17">
        <f t="shared" ref="D120:G120" si="24">ROUND(D118/D119, 2)</f>
        <v>0.97</v>
      </c>
      <c r="E120" s="17">
        <f t="shared" si="24"/>
        <v>0.73</v>
      </c>
      <c r="F120" s="17">
        <f t="shared" si="24"/>
        <v>0.77</v>
      </c>
      <c r="G120" s="17">
        <f t="shared" si="24"/>
        <v>1.22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430731</v>
      </c>
      <c r="D123" s="16">
        <f>'Income Statement'!D5</f>
        <v>625212</v>
      </c>
      <c r="E123" s="16">
        <f>'Income Statement'!E5</f>
        <v>659997</v>
      </c>
      <c r="F123" s="16">
        <f>'Income Statement'!F5</f>
        <v>539238</v>
      </c>
      <c r="G123" s="16">
        <f>'Income Statement'!G5</f>
        <v>721634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60837</v>
      </c>
      <c r="D124" s="16">
        <f>'Balance Sheet'!D36</f>
        <v>67561</v>
      </c>
      <c r="E124" s="16">
        <f>'Balance Sheet'!E36</f>
        <v>73903</v>
      </c>
      <c r="F124" s="16">
        <f>'Balance Sheet'!F36</f>
        <v>81672</v>
      </c>
      <c r="G124" s="16">
        <f>'Balance Sheet'!G36</f>
        <v>107778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51.55</v>
      </c>
      <c r="D125" s="17">
        <f t="shared" ref="D125:G125" si="25">ROUND(365/D123*D124, 2)</f>
        <v>39.44</v>
      </c>
      <c r="E125" s="17">
        <f t="shared" si="25"/>
        <v>40.869999999999997</v>
      </c>
      <c r="F125" s="17">
        <f t="shared" si="25"/>
        <v>55.28</v>
      </c>
      <c r="G125" s="17">
        <f t="shared" si="25"/>
        <v>54.51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207448</v>
      </c>
      <c r="D128" s="16">
        <f>'Income Statement'!D11</f>
        <v>275237</v>
      </c>
      <c r="E128" s="16">
        <f>'Income Statement'!E11</f>
        <v>260621</v>
      </c>
      <c r="F128" s="16">
        <f>'Income Statement'!F11</f>
        <v>199915</v>
      </c>
      <c r="G128" s="16">
        <f>'Income Statement'!G11</f>
        <v>360784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308081</v>
      </c>
      <c r="D129" s="16">
        <f>'Balance Sheet'!D19</f>
        <v>285149</v>
      </c>
      <c r="E129" s="16">
        <f>'Balance Sheet'!E19</f>
        <v>359027</v>
      </c>
      <c r="F129" s="16">
        <f>'Balance Sheet'!F19</f>
        <v>261015</v>
      </c>
      <c r="G129" s="16">
        <f>'Balance Sheet'!G19</f>
        <v>294732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542.05999999999995</v>
      </c>
      <c r="D130" s="17">
        <f t="shared" ref="D130:G130" si="26">ROUND(365/D128*D129, 2)</f>
        <v>378.14</v>
      </c>
      <c r="E130" s="17">
        <f t="shared" si="26"/>
        <v>502.82</v>
      </c>
      <c r="F130" s="17">
        <f t="shared" si="26"/>
        <v>476.55</v>
      </c>
      <c r="G130" s="17">
        <f t="shared" si="26"/>
        <v>298.18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430731</v>
      </c>
      <c r="D133" s="16">
        <f>'Income Statement'!D5</f>
        <v>625212</v>
      </c>
      <c r="E133" s="16">
        <f>'Income Statement'!E5</f>
        <v>659997</v>
      </c>
      <c r="F133" s="16">
        <f>'Income Statement'!F5</f>
        <v>539238</v>
      </c>
      <c r="G133" s="16">
        <f>'Income Statement'!G5</f>
        <v>721634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17555</v>
      </c>
      <c r="D134" s="16">
        <f>'Balance Sheet'!D37</f>
        <v>30089</v>
      </c>
      <c r="E134" s="16">
        <f>'Balance Sheet'!E37</f>
        <v>19656</v>
      </c>
      <c r="F134" s="16">
        <f>'Balance Sheet'!F37</f>
        <v>19014</v>
      </c>
      <c r="G134" s="16">
        <f>'Balance Sheet'!G37</f>
        <v>23640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14.88</v>
      </c>
      <c r="D135" s="17">
        <f t="shared" ref="D135:G135" si="27">ROUND(365/D133*D134, 2)</f>
        <v>17.57</v>
      </c>
      <c r="E135" s="17">
        <f t="shared" si="27"/>
        <v>10.87</v>
      </c>
      <c r="F135" s="17">
        <f t="shared" si="27"/>
        <v>12.87</v>
      </c>
      <c r="G135" s="17">
        <f t="shared" si="27"/>
        <v>11.96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430731</v>
      </c>
      <c r="D138" s="16">
        <f>'Income Statement'!D5</f>
        <v>625212</v>
      </c>
      <c r="E138" s="16">
        <f>'Income Statement'!E5</f>
        <v>659997</v>
      </c>
      <c r="F138" s="16">
        <f>'Income Statement'!F5</f>
        <v>539238</v>
      </c>
      <c r="G138" s="16">
        <f>'Income Statement'!G5</f>
        <v>721634</v>
      </c>
    </row>
    <row r="139" spans="2:12" ht="18.75" x14ac:dyDescent="0.25">
      <c r="B139" s="15" t="str">
        <f>'Balance Sheet'!B36</f>
        <v>Inventories</v>
      </c>
      <c r="C139" s="16">
        <f>'Balance Sheet'!C36</f>
        <v>60837</v>
      </c>
      <c r="D139" s="16">
        <f>'Balance Sheet'!D36</f>
        <v>67561</v>
      </c>
      <c r="E139" s="16">
        <f>'Balance Sheet'!E36</f>
        <v>73903</v>
      </c>
      <c r="F139" s="16">
        <f>'Balance Sheet'!F36</f>
        <v>81672</v>
      </c>
      <c r="G139" s="16">
        <f>'Balance Sheet'!G36</f>
        <v>107778</v>
      </c>
    </row>
    <row r="140" spans="2:12" ht="18.75" x14ac:dyDescent="0.25">
      <c r="B140" s="15" t="s">
        <v>192</v>
      </c>
      <c r="C140" s="16">
        <f>ROUND(365/C138*C139, 2)</f>
        <v>51.55</v>
      </c>
      <c r="D140" s="16">
        <f t="shared" ref="D140:G140" si="28">ROUND(365/D138*D139, 2)</f>
        <v>39.44</v>
      </c>
      <c r="E140" s="16">
        <f t="shared" si="28"/>
        <v>40.869999999999997</v>
      </c>
      <c r="F140" s="16">
        <f t="shared" si="28"/>
        <v>55.28</v>
      </c>
      <c r="G140" s="16">
        <f t="shared" si="28"/>
        <v>54.51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207448</v>
      </c>
      <c r="D141" s="16">
        <f>'Income Statement'!D11</f>
        <v>275237</v>
      </c>
      <c r="E141" s="16">
        <f>'Income Statement'!E11</f>
        <v>260621</v>
      </c>
      <c r="F141" s="16">
        <f>'Income Statement'!F11</f>
        <v>199915</v>
      </c>
      <c r="G141" s="16">
        <f>'Income Statement'!G11</f>
        <v>360784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308081</v>
      </c>
      <c r="D142" s="16">
        <f>'Balance Sheet'!D19</f>
        <v>285149</v>
      </c>
      <c r="E142" s="16">
        <f>'Balance Sheet'!E19</f>
        <v>359027</v>
      </c>
      <c r="F142" s="16">
        <f>'Balance Sheet'!F19</f>
        <v>261015</v>
      </c>
      <c r="G142" s="16">
        <f>'Balance Sheet'!G19</f>
        <v>294732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542.05999999999995</v>
      </c>
      <c r="D143" s="16">
        <f t="shared" ref="D143:G143" si="29">ROUND(365/D141*D142, 2)</f>
        <v>378.14</v>
      </c>
      <c r="E143" s="16">
        <f t="shared" si="29"/>
        <v>502.82</v>
      </c>
      <c r="F143" s="16">
        <f t="shared" si="29"/>
        <v>476.55</v>
      </c>
      <c r="G143" s="16">
        <f t="shared" si="29"/>
        <v>298.18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593.61</v>
      </c>
      <c r="D144" s="28">
        <f t="shared" ref="D144:G144" si="30">ROUND(D143+D140, 2)</f>
        <v>417.58</v>
      </c>
      <c r="E144" s="28">
        <f t="shared" si="30"/>
        <v>543.69000000000005</v>
      </c>
      <c r="F144" s="28">
        <f t="shared" si="30"/>
        <v>531.83000000000004</v>
      </c>
      <c r="G144" s="28">
        <f t="shared" si="30"/>
        <v>352.69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430731</v>
      </c>
      <c r="D147" s="16">
        <f>'Income Statement'!D5</f>
        <v>625212</v>
      </c>
      <c r="E147" s="16">
        <f>'Income Statement'!E5</f>
        <v>659997</v>
      </c>
      <c r="F147" s="16">
        <f>'Income Statement'!F5</f>
        <v>539238</v>
      </c>
      <c r="G147" s="16">
        <f>'Income Statement'!G5</f>
        <v>721634</v>
      </c>
    </row>
    <row r="148" spans="2:12" ht="18.75" x14ac:dyDescent="0.25">
      <c r="B148" s="15" t="str">
        <f>'Balance Sheet'!B36</f>
        <v>Inventories</v>
      </c>
      <c r="C148" s="16">
        <f>'Balance Sheet'!C36</f>
        <v>60837</v>
      </c>
      <c r="D148" s="16">
        <f>'Balance Sheet'!D36</f>
        <v>67561</v>
      </c>
      <c r="E148" s="16">
        <f>'Balance Sheet'!E36</f>
        <v>73903</v>
      </c>
      <c r="F148" s="16">
        <f>'Balance Sheet'!F36</f>
        <v>81672</v>
      </c>
      <c r="G148" s="16">
        <f>'Balance Sheet'!G36</f>
        <v>107778</v>
      </c>
    </row>
    <row r="149" spans="2:12" ht="18.75" x14ac:dyDescent="0.25">
      <c r="B149" s="15" t="s">
        <v>192</v>
      </c>
      <c r="C149" s="16">
        <f>ROUND(365/C147*C148, 2)</f>
        <v>51.55</v>
      </c>
      <c r="D149" s="16">
        <f t="shared" ref="D149:G149" si="31">ROUND(365/D147*D148, 2)</f>
        <v>39.44</v>
      </c>
      <c r="E149" s="16">
        <f t="shared" si="31"/>
        <v>40.869999999999997</v>
      </c>
      <c r="F149" s="16">
        <f t="shared" si="31"/>
        <v>55.28</v>
      </c>
      <c r="G149" s="16">
        <f t="shared" si="31"/>
        <v>54.51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207448</v>
      </c>
      <c r="D150" s="16">
        <f>'Income Statement'!D11</f>
        <v>275237</v>
      </c>
      <c r="E150" s="16">
        <f>'Income Statement'!E11</f>
        <v>260621</v>
      </c>
      <c r="F150" s="16">
        <f>'Income Statement'!F11</f>
        <v>199915</v>
      </c>
      <c r="G150" s="16">
        <f>'Income Statement'!G11</f>
        <v>360784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308081</v>
      </c>
      <c r="D151" s="16">
        <f>'Balance Sheet'!D19</f>
        <v>285149</v>
      </c>
      <c r="E151" s="16">
        <f>'Balance Sheet'!E19</f>
        <v>359027</v>
      </c>
      <c r="F151" s="16">
        <f>'Balance Sheet'!F19</f>
        <v>261015</v>
      </c>
      <c r="G151" s="16">
        <f>'Balance Sheet'!G19</f>
        <v>294732</v>
      </c>
    </row>
    <row r="152" spans="2:12" ht="18.75" x14ac:dyDescent="0.25">
      <c r="B152" s="15" t="s">
        <v>194</v>
      </c>
      <c r="C152" s="16">
        <f>ROUND(365/C150*C151, 2)</f>
        <v>542.05999999999995</v>
      </c>
      <c r="D152" s="16">
        <f t="shared" ref="D152:G152" si="32">ROUND(365/D150*D151, 2)</f>
        <v>378.14</v>
      </c>
      <c r="E152" s="16">
        <f t="shared" si="32"/>
        <v>502.82</v>
      </c>
      <c r="F152" s="16">
        <f t="shared" si="32"/>
        <v>476.55</v>
      </c>
      <c r="G152" s="16">
        <f t="shared" si="32"/>
        <v>298.18</v>
      </c>
    </row>
    <row r="153" spans="2:12" ht="18.75" x14ac:dyDescent="0.25">
      <c r="B153" s="15" t="s">
        <v>200</v>
      </c>
      <c r="C153" s="16">
        <f>ROUND(C152+C149, 2)</f>
        <v>593.61</v>
      </c>
      <c r="D153" s="16">
        <f t="shared" ref="D153:G153" si="33">ROUND(D152+D149, 2)</f>
        <v>417.58</v>
      </c>
      <c r="E153" s="16">
        <f t="shared" si="33"/>
        <v>543.69000000000005</v>
      </c>
      <c r="F153" s="16">
        <f t="shared" si="33"/>
        <v>531.83000000000004</v>
      </c>
      <c r="G153" s="16">
        <f t="shared" si="33"/>
        <v>352.69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207448</v>
      </c>
      <c r="D154" s="16">
        <f>'Income Statement'!D11</f>
        <v>275237</v>
      </c>
      <c r="E154" s="16">
        <f>'Income Statement'!E11</f>
        <v>260621</v>
      </c>
      <c r="F154" s="16">
        <f>'Income Statement'!F11</f>
        <v>199915</v>
      </c>
      <c r="G154" s="16">
        <f>'Income Statement'!G11</f>
        <v>360784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308081</v>
      </c>
      <c r="D155" s="16">
        <f>'Balance Sheet'!D19</f>
        <v>285149</v>
      </c>
      <c r="E155" s="16">
        <f>'Balance Sheet'!E19</f>
        <v>359027</v>
      </c>
      <c r="F155" s="16">
        <f>'Balance Sheet'!F19</f>
        <v>261015</v>
      </c>
      <c r="G155" s="16">
        <f>'Balance Sheet'!G19</f>
        <v>294732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542.05999999999995</v>
      </c>
      <c r="D156" s="16">
        <f t="shared" ref="D156:G156" si="34">ROUND(365/D154*D155, 2)</f>
        <v>378.14</v>
      </c>
      <c r="E156" s="16">
        <f t="shared" si="34"/>
        <v>502.82</v>
      </c>
      <c r="F156" s="16">
        <f t="shared" si="34"/>
        <v>476.55</v>
      </c>
      <c r="G156" s="16">
        <f t="shared" si="34"/>
        <v>298.18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-51.55</v>
      </c>
      <c r="D157" s="28">
        <f t="shared" ref="D157:G157" si="35">ROUND(D156-D153, 2)</f>
        <v>-39.44</v>
      </c>
      <c r="E157" s="28">
        <f t="shared" si="35"/>
        <v>-40.869999999999997</v>
      </c>
      <c r="F157" s="28">
        <f t="shared" si="35"/>
        <v>-55.28</v>
      </c>
      <c r="G157" s="28">
        <f t="shared" si="35"/>
        <v>-54.51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F07D0CCA-9F50-4D98-9BE4-310FBBD8C42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950A34B7-C522-4EBE-9BCB-5F5E51CFFB5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41A404D2-E04B-432C-9349-1E4CE0A3C4B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FDBF6BB7-2C8F-488E-B7CA-04353B5CFB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1B61B05B-98BA-4F1E-B859-CE750B6B3DF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CAC37D0A-0719-4F70-B3FF-E65C154AFBA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89F49D4F-0B08-4BB3-BF3D-04CAEDE7CB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85DCE10C-6FB5-47D6-A8D3-E279F842DBB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803487C1-BF36-4098-BC32-19CB58EE026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BB659C73-2182-449D-AF3C-7A0B92595E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9CA11512-15F6-49E6-99E7-02D8392035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23C784BD-87E9-4757-ACDB-AAF5669411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B8A42A97-4B1C-4963-8DB1-F78114D949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4BB6765-CCA0-4839-A61D-5553D702AF6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BE34980F-7066-45BF-9A69-B5D38E1CD8B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2C90D18F-16A7-4EBE-8F62-00250A8C346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D7A7A692-5895-42EA-A14A-6ABADF8EF6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ABB36E38-17CD-4C0C-8972-B5E34C7831D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CCE6E624-8CC3-4144-8BF1-03EE51B3B2B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BAB82469-5779-41BF-B83B-FABB7BAB45B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90426489-6E5B-40F4-93E5-44F845AEDFE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54EF7EAB-3DB9-4E4B-8D59-625131AF0BF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10495979-2A6E-4461-B926-0D0B1845110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E6A13D93-1FDE-47A4-8180-91C4BD2075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3CD4CBF8-16FB-40C1-9B07-9CD295DBDE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912CBF4A-258E-4056-9C9E-FBDF66DF0E9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04435467-FC4A-4EC2-8279-88A20F65505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78317-9CB1-4857-9A68-7A0116A773F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96039</v>
      </c>
      <c r="D6" s="16">
        <f>'Income Statement'!D27</f>
        <v>158984</v>
      </c>
      <c r="E6" s="16">
        <f>'Income Statement'!E27</f>
        <v>181989</v>
      </c>
      <c r="F6" s="16">
        <f>'Income Statement'!F27</f>
        <v>145020</v>
      </c>
      <c r="G6" s="16">
        <f>'Income Statement'!G27</f>
        <v>181693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1574.4098360655737</v>
      </c>
      <c r="D7" s="16">
        <f>'Income Statement'!D35</f>
        <v>2372.8955223880598</v>
      </c>
      <c r="E7" s="16">
        <f>'Income Statement'!E35</f>
        <v>2888.7142857142858</v>
      </c>
      <c r="F7" s="16">
        <f>'Income Statement'!F35</f>
        <v>1908.1578947368421</v>
      </c>
      <c r="G7" s="16">
        <f>'Income Statement'!G35</f>
        <v>1974.9239130434783</v>
      </c>
    </row>
    <row r="8" spans="2:7" ht="18.75" x14ac:dyDescent="0.25">
      <c r="B8" s="17" t="s">
        <v>146</v>
      </c>
      <c r="C8" s="17">
        <f>ROUND(C6/C7, 2)</f>
        <v>61</v>
      </c>
      <c r="D8" s="17">
        <f t="shared" ref="D8:G8" si="0">ROUND(D6/D7, 2)</f>
        <v>67</v>
      </c>
      <c r="E8" s="17">
        <f t="shared" si="0"/>
        <v>63</v>
      </c>
      <c r="F8" s="17">
        <f t="shared" si="0"/>
        <v>76</v>
      </c>
      <c r="G8" s="17">
        <f t="shared" si="0"/>
        <v>92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06D14-9644-4485-9269-35A5626723D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3255</v>
      </c>
      <c r="D6" s="16">
        <f>'Income Statement'!D28</f>
        <v>3554</v>
      </c>
      <c r="E6" s="16">
        <f>'Income Statement'!E28</f>
        <v>3852</v>
      </c>
      <c r="F6" s="16">
        <f>'Income Statement'!F28</f>
        <v>3921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1574.4098360655737</v>
      </c>
      <c r="D7" s="16">
        <f>'Income Statement'!D35</f>
        <v>2372.8955223880598</v>
      </c>
      <c r="E7" s="16">
        <f>'Income Statement'!E35</f>
        <v>2888.7142857142858</v>
      </c>
      <c r="F7" s="16">
        <f>'Income Statement'!F35</f>
        <v>1908.1578947368421</v>
      </c>
      <c r="G7" s="16">
        <f>'Income Statement'!G35</f>
        <v>1974.9239130434783</v>
      </c>
    </row>
    <row r="8" spans="2:7" ht="18.75" x14ac:dyDescent="0.25">
      <c r="B8" s="17" t="s">
        <v>148</v>
      </c>
      <c r="C8" s="17">
        <f>ROUND(C6/C7, 2)</f>
        <v>2.0699999999999998</v>
      </c>
      <c r="D8" s="17">
        <f t="shared" ref="D8:G8" si="0">ROUND(D6/D7, 2)</f>
        <v>1.5</v>
      </c>
      <c r="E8" s="17">
        <f t="shared" si="0"/>
        <v>1.33</v>
      </c>
      <c r="F8" s="17">
        <f t="shared" si="0"/>
        <v>2.0499999999999998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6A9DE-02BA-4363-975E-9A982B3C504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293491</v>
      </c>
      <c r="D6" s="16">
        <f>'Balance Sheet'!D9</f>
        <v>448197</v>
      </c>
      <c r="E6" s="16">
        <f>'Balance Sheet'!E9</f>
        <v>626015</v>
      </c>
      <c r="F6" s="16">
        <f>'Balance Sheet'!F9</f>
        <v>767220</v>
      </c>
      <c r="G6" s="16">
        <f>'Balance Sheet'!G9</f>
        <v>949233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1574.4098360655737</v>
      </c>
      <c r="D7" s="16">
        <f>'Income Statement'!D35</f>
        <v>2372.8955223880598</v>
      </c>
      <c r="E7" s="16">
        <f>'Income Statement'!E35</f>
        <v>2888.7142857142858</v>
      </c>
      <c r="F7" s="16">
        <f>'Income Statement'!F35</f>
        <v>1908.1578947368421</v>
      </c>
      <c r="G7" s="16">
        <f>'Income Statement'!G35</f>
        <v>1974.9239130434783</v>
      </c>
    </row>
    <row r="8" spans="2:7" ht="18.75" x14ac:dyDescent="0.25">
      <c r="B8" s="17" t="s">
        <v>150</v>
      </c>
      <c r="C8" s="17">
        <f>ROUND(C6/C7, 2)</f>
        <v>186.41</v>
      </c>
      <c r="D8" s="17">
        <f t="shared" ref="D8:G8" si="0">ROUND(D6/D7, 2)</f>
        <v>188.88</v>
      </c>
      <c r="E8" s="17">
        <f t="shared" si="0"/>
        <v>216.71</v>
      </c>
      <c r="F8" s="17">
        <f t="shared" si="0"/>
        <v>402.07</v>
      </c>
      <c r="G8" s="17">
        <f t="shared" si="0"/>
        <v>480.64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2022-07-03T11:52:08Z</dcterms:created>
  <dcterms:modified xsi:type="dcterms:W3CDTF">2022-07-04T07:10:16Z</dcterms:modified>
</cp:coreProperties>
</file>