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3E73F12D-A192-441A-A210-4B7FE38AA3F9}" xr6:coauthVersionLast="47" xr6:coauthVersionMax="47" xr10:uidLastSave="{00000000-0000-0000-0000-000000000000}"/>
  <bookViews>
    <workbookView xWindow="-120" yWindow="-120" windowWidth="20730" windowHeight="11160" firstSheet="42" activeTab="44" xr2:uid="{AA145E1C-D8D4-48EA-A83B-2BC0D96B0152}"/>
  </bookViews>
  <sheets>
    <sheet name="BSInput" sheetId="1" r:id="rId1"/>
    <sheet name="ISMInput" sheetId="2" r:id="rId2"/>
    <sheet name="Income Statement" sheetId="3" r:id="rId3"/>
    <sheet name="Balance Sheet" sheetId="4" r:id="rId4"/>
    <sheet name="CashFlow Statement" sheetId="5" r:id="rId5"/>
    <sheet name="Ratios" sheetId="6" r:id="rId6"/>
    <sheet name="Earning  Per Share" sheetId="7" r:id="rId7"/>
    <sheet name="Equity Dividend Per Share" sheetId="8" r:id="rId8"/>
    <sheet name="Book Value  Per Share" sheetId="9" r:id="rId9"/>
    <sheet name="Dividend Pay Out Ratio" sheetId="10" r:id="rId10"/>
    <sheet name="Dividend Retention Ratio" sheetId="11" r:id="rId11"/>
    <sheet name="Gross Profit" sheetId="12" r:id="rId12"/>
    <sheet name="Net Profit" sheetId="13" r:id="rId13"/>
    <sheet name="Return On Assets" sheetId="14" r:id="rId14"/>
    <sheet name="Return On Capital Employeed" sheetId="15" r:id="rId15"/>
    <sheet name="Return On Equity" sheetId="16" r:id="rId16"/>
    <sheet name="Debt Equity Ratio" sheetId="17" r:id="rId17"/>
    <sheet name="Current Ratio" sheetId="18" r:id="rId18"/>
    <sheet name="Quick Ratio" sheetId="19" r:id="rId19"/>
    <sheet name="Interest Coverage Ratio" sheetId="20" r:id="rId20"/>
    <sheet name="Material Consumed" sheetId="21" r:id="rId21"/>
    <sheet name="Defensive Interval Ratio" sheetId="22" r:id="rId22"/>
    <sheet name="Purchases Per Day" sheetId="23" r:id="rId23"/>
    <sheet name="Asset TurnOver Ratio" sheetId="24" r:id="rId24"/>
    <sheet name="Inventory TurnOver Ratio" sheetId="25" r:id="rId25"/>
    <sheet name="Debtors TurnOver Ratio" sheetId="26" r:id="rId26"/>
    <sheet name="Fixed Assets TurnOver Ratio" sheetId="27" r:id="rId27"/>
    <sheet name="Payable TurnOver Ratio" sheetId="28" r:id="rId28"/>
    <sheet name="Inventory Days" sheetId="29" r:id="rId29"/>
    <sheet name="Payable Days" sheetId="30" r:id="rId30"/>
    <sheet name="Receivable Days" sheetId="31" r:id="rId31"/>
    <sheet name="Operating Cycle" sheetId="32" r:id="rId32"/>
    <sheet name="Cash Conversion Cycle Days" sheetId="33" r:id="rId33"/>
    <sheet name="NetWorthVsTotalLiabilties" sheetId="34" r:id="rId34"/>
    <sheet name="PBDITvsPBIT" sheetId="35" r:id="rId35"/>
    <sheet name="CAvsCL" sheetId="36" r:id="rId36"/>
    <sheet name="Long And Short Term Provisions" sheetId="37" r:id="rId37"/>
    <sheet name="MaterialConsumed_DirectExpenses" sheetId="38" r:id="rId38"/>
    <sheet name="Gross Sales In Total Income" sheetId="39" r:id="rId39"/>
    <sheet name="Total_Debt_In_Liabilities" sheetId="40" r:id="rId40"/>
    <sheet name="Total_CL_In_Liabilities" sheetId="41" r:id="rId41"/>
    <sheet name="Total_NCA_In_Assets" sheetId="42" r:id="rId42"/>
    <sheet name="Total_CA_In_Assets" sheetId="43" r:id="rId43"/>
    <sheet name="TotalExpenditureVsTotalIncome" sheetId="44" r:id="rId44"/>
    <sheet name="Net Profit CF To Balance Sheet" sheetId="45" r:id="rId45"/>
  </sheets>
  <definedNames>
    <definedName name="AmountCFtoBalanceSheet">'Income Statement'!$B$30:$G$30</definedName>
    <definedName name="AssetTurnOverRatio">'Asset TurnOver Ratio'!$B$8:$G$8</definedName>
    <definedName name="BookValuePerShare">'Book Value  Per Share'!$B$8:$G$8</definedName>
    <definedName name="CapitalWorkInProgress">'Balance Sheet'!$B$29:$G$29</definedName>
    <definedName name="CashAndCashEquivalents">'Balance Sheet'!$B$38:$G$38</definedName>
    <definedName name="CashCFtoBalanceSheet">'CashFlow Statement'!$B$48:$G$48</definedName>
    <definedName name="CostOfMaterialsConsumed">'Income Statement'!$B$11:$G$11</definedName>
    <definedName name="CurrentInvestments">'Balance Sheet'!$B$28:$G$28</definedName>
    <definedName name="CurrentRatio">'Current Ratio'!$B$8:$G$8</definedName>
    <definedName name="DebtEquityRatio">'Debt Equity Ratio'!$B$8:$G$8</definedName>
    <definedName name="DebtorsTurnOverRatio">'Debtors TurnOver Ratio'!$B$8:$G$8</definedName>
    <definedName name="DefensiveIntervalRatio">'Defensive Interval Ratio'!$B$8:$G$8</definedName>
    <definedName name="DeferredTaxAssetsNet">'Balance Sheet'!$B$31:$G$31</definedName>
    <definedName name="DeferredTaxLiabilitiesNet">'Balance Sheet'!$B$11:$G$11</definedName>
    <definedName name="Depreciation">'Balance Sheet'!$B$25:$G$25</definedName>
    <definedName name="DepreciationAndAmortisationExpenses">'Income Statement'!$B$18:$G$18</definedName>
    <definedName name="EarningPerShare">'Earning  Per Share'!$B$8:$G$8</definedName>
    <definedName name="EmployeeBenefitExpenses">'Income Statement'!$B$13:$G$13</definedName>
    <definedName name="EquityDividendPerShare">'Equity Dividend Per Share'!$B$8:$G$8</definedName>
    <definedName name="EquityShareCapital">'Balance Sheet'!$B$5:$G$5</definedName>
    <definedName name="EquityShareDividend">'Income Statement'!$B$28:$G$28</definedName>
    <definedName name="ExceptionalItems">'Income Statement'!$B$24:$G$24</definedName>
    <definedName name="ExciseDuty">'Income Statement'!$B$6:$G$6</definedName>
    <definedName name="FinanceCosts">'Income Statement'!$B$20:$G$20</definedName>
    <definedName name="GrossProfit">'Gross Profit'!$B$8:$G$8</definedName>
    <definedName name="GrossSales">'Income Statement'!$B$5:$G$5</definedName>
    <definedName name="IntangibleAssets">'Balance Sheet'!$B$24:$G$24</definedName>
    <definedName name="InterestCoverageRatio">'Interest Coverage Ratio'!$B$8:$G$8</definedName>
    <definedName name="Inventories">'Balance Sheet'!$B$36:$G$36</definedName>
    <definedName name="InventoryTurnOverRatio">'Inventory TurnOver Ratio'!$B$8:$G$8</definedName>
    <definedName name="LongTermBorrowings">'Balance Sheet'!$B$10:$G$10</definedName>
    <definedName name="LongTermLoansAndAdvances">'Balance Sheet'!$B$32:$G$32</definedName>
    <definedName name="LongTermProvisions">'Balance Sheet'!$B$14:$G$14</definedName>
    <definedName name="MaterialConsumed">'Material Consumed'!$B$8:$G$8</definedName>
    <definedName name="MinorityInterest">'Balance Sheet'!$B$20:$G$20</definedName>
    <definedName name="NetAssets">'Balance Sheet'!$B$26:$G$26</definedName>
    <definedName name="NetProfit">'Net Profit'!$B$8:$G$8</definedName>
    <definedName name="NetSales">'Income Statement'!$B$7:$G$7</definedName>
    <definedName name="NetWorth">'Balance Sheet'!$B$9:$G$9</definedName>
    <definedName name="NonCurrentInvestments">'Balance Sheet'!$B$27:$G$27</definedName>
    <definedName name="OperatingAndDirectExpenses">'Income Statement'!$B$12:$G$12</definedName>
    <definedName name="OperatingProfit">'Income Statement'!$B$16:$G$16</definedName>
    <definedName name="OtherCurrentAssets">'Balance Sheet'!$B$35:$G$35</definedName>
    <definedName name="OtherCurrentLiabilities">'Balance Sheet'!$B$18:$G$18</definedName>
    <definedName name="OtherExpenses">'Income Statement'!$B$14:$G$14</definedName>
    <definedName name="OtherIncome">'Income Statement'!$B$8:$G$8</definedName>
    <definedName name="OtherLongTermLiabilities">'Balance Sheet'!$B$16:$G$16</definedName>
    <definedName name="OtherNonCurrentAssets">'Balance Sheet'!$B$33:$G$33</definedName>
    <definedName name="PBDIT">'Income Statement'!$B$17:$G$17</definedName>
    <definedName name="PBIT">'Income Statement'!$B$19:$G$19</definedName>
    <definedName name="PBT">'Income Statement'!$B$23:$G$23</definedName>
    <definedName name="PBTPostExtraOrdinaryItems">'Income Statement'!$B$25:$G$25</definedName>
    <definedName name="PreferenceShareCapital">'Balance Sheet'!$B$6:$G$6</definedName>
    <definedName name="ProfitBeforeshareofAssociates">'Income Statement'!$B$21:$G$21</definedName>
    <definedName name="QuickRatio">'Quick Ratio'!$B$9:$G$9</definedName>
    <definedName name="ReportedNetProfitPAT">'Income Statement'!$B$27:$G$27</definedName>
    <definedName name="ReservesandSurplus">'Balance Sheet'!$B$8:$G$8</definedName>
    <definedName name="ReturnOnAssets">'Return On Assets'!$B$8:$G$8</definedName>
    <definedName name="ReturnOnCapitalEmployeed">'Return On Capital Employeed'!$B$9:$G$9</definedName>
    <definedName name="ReturnOnEquity">'Return On Equity'!$B$8:$G$8</definedName>
    <definedName name="ShareOfProfitLossOfAssociates">'Income Statement'!$B$22:$G$22</definedName>
    <definedName name="SharesOutstanding">'Income Statement'!$B$35:$G$35</definedName>
    <definedName name="ShortTermBorrowings">'Balance Sheet'!$B$12:$G$12</definedName>
    <definedName name="ShortTermLoansAndAdvances">'Balance Sheet'!$B$34:$G$34</definedName>
    <definedName name="ShortTermProvisions">'Balance Sheet'!$B$15:$G$15</definedName>
    <definedName name="StockAdjustments">'Income Statement'!$B$9:$G$9</definedName>
    <definedName name="TangibleAssets">'Balance Sheet'!$B$23:$G$23</definedName>
    <definedName name="TaxOnDividend">'Income Statement'!$B$29:$G$29</definedName>
    <definedName name="TotalAssets">'Balance Sheet'!$B$40:$G$40</definedName>
    <definedName name="TotalCashFlowfromInvestmentActivities">'CashFlow Statement'!$B$35:$G$35</definedName>
    <definedName name="TotalCashFromFinancingActivities">'CashFlow Statement'!$B$47:$G$47</definedName>
    <definedName name="TotalCashfromOperatingActivities">'CashFlow Statement'!$B$27:$G$27</definedName>
    <definedName name="TotalCurrentAssets">'Balance Sheet'!$B$39:$G$39</definedName>
    <definedName name="TotalCurrentLiabilities">'Balance Sheet'!$B$19:$G$19</definedName>
    <definedName name="TotalDebt">'Balance Sheet'!$B$13:$G$13</definedName>
    <definedName name="TotalExpenditure">'Income Statement'!$B$15:$G$15</definedName>
    <definedName name="TotalIncome">'Income Statement'!$B$10:$G$10</definedName>
    <definedName name="TotalLiabilities">'Balance Sheet'!$B$21:$G$21</definedName>
    <definedName name="TotalNonCashNonOperatingTransactions">'CashFlow Statement'!$B$10:$G$10</definedName>
    <definedName name="TotalNonCurrentAssets">'Balance Sheet'!$B$30:$G$30</definedName>
    <definedName name="TotalShareCapital">'Balance Sheet'!$B$7:$G$7</definedName>
    <definedName name="TotalTaxExpenses">'Income Statement'!$B$26:$G$26</definedName>
    <definedName name="TradePayables">'Balance Sheet'!$B$17:$G$17</definedName>
    <definedName name="TradeReceivables">'Balance Sheet'!$B$37:$G$37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45" l="1"/>
  <c r="D5" i="45"/>
  <c r="E5" i="45"/>
  <c r="F5" i="45"/>
  <c r="G5" i="45"/>
  <c r="C6" i="45"/>
  <c r="D6" i="45"/>
  <c r="E6" i="45"/>
  <c r="F6" i="45"/>
  <c r="G6" i="45"/>
  <c r="B6" i="45"/>
  <c r="B5" i="45"/>
  <c r="D4" i="45"/>
  <c r="E4" i="45"/>
  <c r="F4" i="45"/>
  <c r="G4" i="45"/>
  <c r="C4" i="45"/>
  <c r="C5" i="44"/>
  <c r="D5" i="44"/>
  <c r="E5" i="44"/>
  <c r="F5" i="44"/>
  <c r="G5" i="44"/>
  <c r="C6" i="44"/>
  <c r="D6" i="44"/>
  <c r="E6" i="44"/>
  <c r="F6" i="44"/>
  <c r="G6" i="44"/>
  <c r="B6" i="44"/>
  <c r="B5" i="44"/>
  <c r="D4" i="44"/>
  <c r="E4" i="44"/>
  <c r="F4" i="44"/>
  <c r="G4" i="44"/>
  <c r="C4" i="44"/>
  <c r="C5" i="43"/>
  <c r="D5" i="43"/>
  <c r="E5" i="43"/>
  <c r="F5" i="43"/>
  <c r="G5" i="43"/>
  <c r="C6" i="43"/>
  <c r="D6" i="43"/>
  <c r="E6" i="43"/>
  <c r="F6" i="43"/>
  <c r="G6" i="43"/>
  <c r="B6" i="43"/>
  <c r="B5" i="43"/>
  <c r="D4" i="43"/>
  <c r="E4" i="43"/>
  <c r="F4" i="43"/>
  <c r="G4" i="43"/>
  <c r="C4" i="43"/>
  <c r="C5" i="42"/>
  <c r="D5" i="42"/>
  <c r="E5" i="42"/>
  <c r="F5" i="42"/>
  <c r="G5" i="42"/>
  <c r="C6" i="42"/>
  <c r="D6" i="42"/>
  <c r="E6" i="42"/>
  <c r="F6" i="42"/>
  <c r="G6" i="42"/>
  <c r="B6" i="42"/>
  <c r="B5" i="42"/>
  <c r="D4" i="42"/>
  <c r="E4" i="42"/>
  <c r="F4" i="42"/>
  <c r="G4" i="42"/>
  <c r="C4" i="42"/>
  <c r="C5" i="41"/>
  <c r="D5" i="41"/>
  <c r="E5" i="41"/>
  <c r="F5" i="41"/>
  <c r="G5" i="41"/>
  <c r="C6" i="41"/>
  <c r="D6" i="41"/>
  <c r="E6" i="41"/>
  <c r="F6" i="41"/>
  <c r="G6" i="41"/>
  <c r="B6" i="41"/>
  <c r="B5" i="41"/>
  <c r="D4" i="41"/>
  <c r="E4" i="41"/>
  <c r="F4" i="41"/>
  <c r="G4" i="41"/>
  <c r="C4" i="41"/>
  <c r="C5" i="40"/>
  <c r="D5" i="40"/>
  <c r="E5" i="40"/>
  <c r="F5" i="40"/>
  <c r="G5" i="40"/>
  <c r="C6" i="40"/>
  <c r="D6" i="40"/>
  <c r="E6" i="40"/>
  <c r="F6" i="40"/>
  <c r="G6" i="40"/>
  <c r="B6" i="40"/>
  <c r="B5" i="40"/>
  <c r="D4" i="40"/>
  <c r="E4" i="40"/>
  <c r="F4" i="40"/>
  <c r="G4" i="40"/>
  <c r="C4" i="40"/>
  <c r="C5" i="39"/>
  <c r="D5" i="39"/>
  <c r="E5" i="39"/>
  <c r="F5" i="39"/>
  <c r="G5" i="39"/>
  <c r="C6" i="39"/>
  <c r="D6" i="39"/>
  <c r="E6" i="39"/>
  <c r="F6" i="39"/>
  <c r="G6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C5" i="36"/>
  <c r="D5" i="36"/>
  <c r="E5" i="36"/>
  <c r="F5" i="36"/>
  <c r="G5" i="36"/>
  <c r="C6" i="36"/>
  <c r="D6" i="36"/>
  <c r="E6" i="36"/>
  <c r="F6" i="36"/>
  <c r="G6" i="36"/>
  <c r="B6" i="36"/>
  <c r="B5" i="36"/>
  <c r="D4" i="36"/>
  <c r="E4" i="36"/>
  <c r="F4" i="36"/>
  <c r="G4" i="36"/>
  <c r="C4" i="36"/>
  <c r="C5" i="35"/>
  <c r="D5" i="35"/>
  <c r="E5" i="35"/>
  <c r="F5" i="35"/>
  <c r="G5" i="35"/>
  <c r="C6" i="35"/>
  <c r="D6" i="35"/>
  <c r="E6" i="35"/>
  <c r="F6" i="35"/>
  <c r="G6" i="35"/>
  <c r="B6" i="35"/>
  <c r="B5" i="35"/>
  <c r="D4" i="35"/>
  <c r="E4" i="35"/>
  <c r="F4" i="35"/>
  <c r="G4" i="35"/>
  <c r="C4" i="35"/>
  <c r="C5" i="34"/>
  <c r="D5" i="34"/>
  <c r="E5" i="34"/>
  <c r="F5" i="34"/>
  <c r="G5" i="34"/>
  <c r="C6" i="34"/>
  <c r="D6" i="34"/>
  <c r="E6" i="34"/>
  <c r="F6" i="34"/>
  <c r="G6" i="34"/>
  <c r="B6" i="34"/>
  <c r="B5" i="34"/>
  <c r="D4" i="34"/>
  <c r="E4" i="34"/>
  <c r="F4" i="34"/>
  <c r="G4" i="34"/>
  <c r="C4" i="34"/>
  <c r="D16" i="33"/>
  <c r="E16" i="33"/>
  <c r="F16" i="33"/>
  <c r="G16" i="33"/>
  <c r="C16" i="33"/>
  <c r="D15" i="33"/>
  <c r="E15" i="33"/>
  <c r="F15" i="33"/>
  <c r="G15" i="33"/>
  <c r="C15" i="33"/>
  <c r="C13" i="33"/>
  <c r="D13" i="33"/>
  <c r="E13" i="33"/>
  <c r="F13" i="33"/>
  <c r="G13" i="33"/>
  <c r="C14" i="33"/>
  <c r="D14" i="33"/>
  <c r="E14" i="33"/>
  <c r="F14" i="33"/>
  <c r="G14" i="33"/>
  <c r="B14" i="33"/>
  <c r="B13" i="33"/>
  <c r="D12" i="33"/>
  <c r="E12" i="33"/>
  <c r="F12" i="33"/>
  <c r="G12" i="33"/>
  <c r="C12" i="33"/>
  <c r="D11" i="33"/>
  <c r="E11" i="33"/>
  <c r="F11" i="33"/>
  <c r="G11" i="33"/>
  <c r="C11" i="33"/>
  <c r="C9" i="33"/>
  <c r="D9" i="33"/>
  <c r="E9" i="33"/>
  <c r="F9" i="33"/>
  <c r="G9" i="33"/>
  <c r="C10" i="33"/>
  <c r="D10" i="33"/>
  <c r="E10" i="33"/>
  <c r="F10" i="33"/>
  <c r="G10" i="33"/>
  <c r="B10" i="33"/>
  <c r="B9" i="33"/>
  <c r="D8" i="33"/>
  <c r="E8" i="33"/>
  <c r="F8" i="33"/>
  <c r="G8" i="33"/>
  <c r="C8" i="33"/>
  <c r="C6" i="33"/>
  <c r="D6" i="33"/>
  <c r="E6" i="33"/>
  <c r="F6" i="33"/>
  <c r="G6" i="33"/>
  <c r="C7" i="33"/>
  <c r="D7" i="33"/>
  <c r="E7" i="33"/>
  <c r="F7" i="33"/>
  <c r="G7" i="33"/>
  <c r="B7" i="33"/>
  <c r="B6" i="33"/>
  <c r="D12" i="32"/>
  <c r="E12" i="32"/>
  <c r="F12" i="32"/>
  <c r="G12" i="32"/>
  <c r="C12" i="32"/>
  <c r="D11" i="32"/>
  <c r="E11" i="32"/>
  <c r="F11" i="32"/>
  <c r="G11" i="32"/>
  <c r="C11" i="32"/>
  <c r="C9" i="32"/>
  <c r="D9" i="32"/>
  <c r="E9" i="32"/>
  <c r="F9" i="32"/>
  <c r="G9" i="32"/>
  <c r="C10" i="32"/>
  <c r="D10" i="32"/>
  <c r="E10" i="32"/>
  <c r="F10" i="32"/>
  <c r="G10" i="32"/>
  <c r="B10" i="32"/>
  <c r="B9" i="32"/>
  <c r="D8" i="32"/>
  <c r="E8" i="32"/>
  <c r="F8" i="32"/>
  <c r="G8" i="32"/>
  <c r="C8" i="32"/>
  <c r="C6" i="32"/>
  <c r="D6" i="32"/>
  <c r="E6" i="32"/>
  <c r="F6" i="32"/>
  <c r="G6" i="32"/>
  <c r="C7" i="32"/>
  <c r="D7" i="32"/>
  <c r="E7" i="32"/>
  <c r="F7" i="32"/>
  <c r="G7" i="32"/>
  <c r="B7" i="32"/>
  <c r="B6" i="32"/>
  <c r="D8" i="31"/>
  <c r="E8" i="31"/>
  <c r="F8" i="31"/>
  <c r="G8" i="31"/>
  <c r="C8" i="31"/>
  <c r="C6" i="31"/>
  <c r="D6" i="31"/>
  <c r="E6" i="31"/>
  <c r="F6" i="31"/>
  <c r="G6" i="31"/>
  <c r="C7" i="31"/>
  <c r="D7" i="31"/>
  <c r="E7" i="31"/>
  <c r="F7" i="31"/>
  <c r="G7" i="31"/>
  <c r="B7" i="31"/>
  <c r="B6" i="31"/>
  <c r="D8" i="30"/>
  <c r="E8" i="30"/>
  <c r="F8" i="30"/>
  <c r="G8" i="30"/>
  <c r="C8" i="30"/>
  <c r="C6" i="30"/>
  <c r="D6" i="30"/>
  <c r="E6" i="30"/>
  <c r="F6" i="30"/>
  <c r="G6" i="30"/>
  <c r="C7" i="30"/>
  <c r="D7" i="30"/>
  <c r="E7" i="30"/>
  <c r="F7" i="30"/>
  <c r="G7" i="30"/>
  <c r="B7" i="30"/>
  <c r="B6" i="30"/>
  <c r="D8" i="29"/>
  <c r="E8" i="29"/>
  <c r="F8" i="29"/>
  <c r="G8" i="29"/>
  <c r="C8" i="29"/>
  <c r="C6" i="29"/>
  <c r="D6" i="29"/>
  <c r="E6" i="29"/>
  <c r="F6" i="29"/>
  <c r="G6" i="29"/>
  <c r="C7" i="29"/>
  <c r="D7" i="29"/>
  <c r="E7" i="29"/>
  <c r="F7" i="29"/>
  <c r="G7" i="29"/>
  <c r="B7" i="29"/>
  <c r="B6" i="29"/>
  <c r="D8" i="28"/>
  <c r="E8" i="28"/>
  <c r="F8" i="28"/>
  <c r="G8" i="28"/>
  <c r="C8" i="28"/>
  <c r="C6" i="28"/>
  <c r="D6" i="28"/>
  <c r="E6" i="28"/>
  <c r="F6" i="28"/>
  <c r="G6" i="28"/>
  <c r="C7" i="28"/>
  <c r="D7" i="28"/>
  <c r="E7" i="28"/>
  <c r="F7" i="28"/>
  <c r="G7" i="28"/>
  <c r="B7" i="28"/>
  <c r="B6" i="28"/>
  <c r="D8" i="27"/>
  <c r="E8" i="27"/>
  <c r="F8" i="27"/>
  <c r="G8" i="27"/>
  <c r="C8" i="27"/>
  <c r="C6" i="27"/>
  <c r="D6" i="27"/>
  <c r="E6" i="27"/>
  <c r="F6" i="27"/>
  <c r="G6" i="27"/>
  <c r="C7" i="27"/>
  <c r="D7" i="27"/>
  <c r="E7" i="27"/>
  <c r="F7" i="27"/>
  <c r="G7" i="27"/>
  <c r="B7" i="27"/>
  <c r="B6" i="27"/>
  <c r="D8" i="26"/>
  <c r="E8" i="26"/>
  <c r="F8" i="26"/>
  <c r="G8" i="26"/>
  <c r="C8" i="26"/>
  <c r="C6" i="26"/>
  <c r="D6" i="26"/>
  <c r="E6" i="26"/>
  <c r="F6" i="26"/>
  <c r="G6" i="26"/>
  <c r="C7" i="26"/>
  <c r="D7" i="26"/>
  <c r="E7" i="26"/>
  <c r="F7" i="26"/>
  <c r="G7" i="26"/>
  <c r="B7" i="26"/>
  <c r="B6" i="26"/>
  <c r="D8" i="25"/>
  <c r="E8" i="25"/>
  <c r="F8" i="25"/>
  <c r="G8" i="25"/>
  <c r="C8" i="25"/>
  <c r="C6" i="25"/>
  <c r="D6" i="25"/>
  <c r="E6" i="25"/>
  <c r="F6" i="25"/>
  <c r="G6" i="25"/>
  <c r="C7" i="25"/>
  <c r="D7" i="25"/>
  <c r="E7" i="25"/>
  <c r="F7" i="25"/>
  <c r="G7" i="25"/>
  <c r="B7" i="25"/>
  <c r="B6" i="25"/>
  <c r="D8" i="24"/>
  <c r="E8" i="24"/>
  <c r="F8" i="24"/>
  <c r="G8" i="24"/>
  <c r="C8" i="24"/>
  <c r="C6" i="24"/>
  <c r="D6" i="24"/>
  <c r="E6" i="24"/>
  <c r="F6" i="24"/>
  <c r="G6" i="24"/>
  <c r="C7" i="24"/>
  <c r="D7" i="24"/>
  <c r="E7" i="24"/>
  <c r="F7" i="24"/>
  <c r="G7" i="24"/>
  <c r="B7" i="24"/>
  <c r="B6" i="24"/>
  <c r="D8" i="23"/>
  <c r="E8" i="23"/>
  <c r="F8" i="23"/>
  <c r="G8" i="23"/>
  <c r="C8" i="23"/>
  <c r="C6" i="23"/>
  <c r="D6" i="23"/>
  <c r="E6" i="23"/>
  <c r="F6" i="23"/>
  <c r="G6" i="23"/>
  <c r="B6" i="23"/>
  <c r="D8" i="22"/>
  <c r="E8" i="22"/>
  <c r="F8" i="22"/>
  <c r="G8" i="22"/>
  <c r="C8" i="22"/>
  <c r="C6" i="22"/>
  <c r="D6" i="22"/>
  <c r="E6" i="22"/>
  <c r="F6" i="22"/>
  <c r="G6" i="22"/>
  <c r="C7" i="22"/>
  <c r="D7" i="22"/>
  <c r="E7" i="22"/>
  <c r="F7" i="22"/>
  <c r="G7" i="22"/>
  <c r="B7" i="22"/>
  <c r="B6" i="22"/>
  <c r="D8" i="21"/>
  <c r="E8" i="21"/>
  <c r="F8" i="21"/>
  <c r="G8" i="21"/>
  <c r="C8" i="21"/>
  <c r="C6" i="21"/>
  <c r="D6" i="21"/>
  <c r="E6" i="21"/>
  <c r="F6" i="21"/>
  <c r="G6" i="21"/>
  <c r="C7" i="21"/>
  <c r="D7" i="21"/>
  <c r="E7" i="21"/>
  <c r="F7" i="21"/>
  <c r="G7" i="21"/>
  <c r="B7" i="21"/>
  <c r="B6" i="21"/>
  <c r="D8" i="20"/>
  <c r="E8" i="20"/>
  <c r="F8" i="20"/>
  <c r="G8" i="20"/>
  <c r="C8" i="20"/>
  <c r="C6" i="20"/>
  <c r="D6" i="20"/>
  <c r="E6" i="20"/>
  <c r="F6" i="20"/>
  <c r="G6" i="20"/>
  <c r="C7" i="20"/>
  <c r="D7" i="20"/>
  <c r="E7" i="20"/>
  <c r="F7" i="20"/>
  <c r="G7" i="20"/>
  <c r="B7" i="20"/>
  <c r="B6" i="20"/>
  <c r="D9" i="19"/>
  <c r="E9" i="19"/>
  <c r="F9" i="19"/>
  <c r="G9" i="19"/>
  <c r="C9" i="19"/>
  <c r="C6" i="19"/>
  <c r="D6" i="19"/>
  <c r="E6" i="19"/>
  <c r="F6" i="19"/>
  <c r="G6" i="19"/>
  <c r="C7" i="19"/>
  <c r="D7" i="19"/>
  <c r="E7" i="19"/>
  <c r="F7" i="19"/>
  <c r="G7" i="19"/>
  <c r="C8" i="19"/>
  <c r="D8" i="19"/>
  <c r="E8" i="19"/>
  <c r="F8" i="19"/>
  <c r="G8" i="19"/>
  <c r="B8" i="19"/>
  <c r="B7" i="19"/>
  <c r="B6" i="19"/>
  <c r="D8" i="18"/>
  <c r="E8" i="18"/>
  <c r="F8" i="18"/>
  <c r="G8" i="18"/>
  <c r="C8" i="18"/>
  <c r="C6" i="18"/>
  <c r="D6" i="18"/>
  <c r="E6" i="18"/>
  <c r="F6" i="18"/>
  <c r="G6" i="18"/>
  <c r="C7" i="18"/>
  <c r="D7" i="18"/>
  <c r="E7" i="18"/>
  <c r="F7" i="18"/>
  <c r="G7" i="18"/>
  <c r="B7" i="18"/>
  <c r="B6" i="18"/>
  <c r="D8" i="17"/>
  <c r="E8" i="17"/>
  <c r="F8" i="17"/>
  <c r="G8" i="17"/>
  <c r="C8" i="17"/>
  <c r="C6" i="17"/>
  <c r="D6" i="17"/>
  <c r="E6" i="17"/>
  <c r="F6" i="17"/>
  <c r="G6" i="17"/>
  <c r="C7" i="17"/>
  <c r="D7" i="17"/>
  <c r="E7" i="17"/>
  <c r="F7" i="17"/>
  <c r="G7" i="17"/>
  <c r="B7" i="17"/>
  <c r="B6" i="17"/>
  <c r="D8" i="16"/>
  <c r="E8" i="16"/>
  <c r="F8" i="16"/>
  <c r="G8" i="16"/>
  <c r="C8" i="16"/>
  <c r="C6" i="16"/>
  <c r="D6" i="16"/>
  <c r="E6" i="16"/>
  <c r="F6" i="16"/>
  <c r="G6" i="16"/>
  <c r="C7" i="16"/>
  <c r="D7" i="16"/>
  <c r="E7" i="16"/>
  <c r="F7" i="16"/>
  <c r="G7" i="16"/>
  <c r="B7" i="16"/>
  <c r="B6" i="16"/>
  <c r="D9" i="15"/>
  <c r="E9" i="15"/>
  <c r="F9" i="15"/>
  <c r="G9" i="15"/>
  <c r="C9" i="15"/>
  <c r="C6" i="15"/>
  <c r="D6" i="15"/>
  <c r="E6" i="15"/>
  <c r="F6" i="15"/>
  <c r="G6" i="15"/>
  <c r="C7" i="15"/>
  <c r="D7" i="15"/>
  <c r="E7" i="15"/>
  <c r="F7" i="15"/>
  <c r="G7" i="15"/>
  <c r="C8" i="15"/>
  <c r="D8" i="15"/>
  <c r="E8" i="15"/>
  <c r="F8" i="15"/>
  <c r="G8" i="15"/>
  <c r="B8" i="15"/>
  <c r="B7" i="15"/>
  <c r="B6" i="15"/>
  <c r="D8" i="14"/>
  <c r="E8" i="14"/>
  <c r="F8" i="14"/>
  <c r="G8" i="14"/>
  <c r="C8" i="14"/>
  <c r="C6" i="14"/>
  <c r="D6" i="14"/>
  <c r="E6" i="14"/>
  <c r="F6" i="14"/>
  <c r="G6" i="14"/>
  <c r="C7" i="14"/>
  <c r="D7" i="14"/>
  <c r="E7" i="14"/>
  <c r="F7" i="14"/>
  <c r="G7" i="14"/>
  <c r="B7" i="14"/>
  <c r="B6" i="14"/>
  <c r="D8" i="13"/>
  <c r="E8" i="13"/>
  <c r="F8" i="13"/>
  <c r="G8" i="13"/>
  <c r="C8" i="13"/>
  <c r="C6" i="13"/>
  <c r="D6" i="13"/>
  <c r="E6" i="13"/>
  <c r="F6" i="13"/>
  <c r="G6" i="13"/>
  <c r="C7" i="13"/>
  <c r="D7" i="13"/>
  <c r="E7" i="13"/>
  <c r="F7" i="13"/>
  <c r="G7" i="13"/>
  <c r="B7" i="13"/>
  <c r="B6" i="13"/>
  <c r="D8" i="12"/>
  <c r="E8" i="12"/>
  <c r="F8" i="12"/>
  <c r="G8" i="12"/>
  <c r="C8" i="12"/>
  <c r="C6" i="12"/>
  <c r="D6" i="12"/>
  <c r="E6" i="12"/>
  <c r="F6" i="12"/>
  <c r="G6" i="12"/>
  <c r="C7" i="12"/>
  <c r="D7" i="12"/>
  <c r="E7" i="12"/>
  <c r="F7" i="12"/>
  <c r="G7" i="12"/>
  <c r="B7" i="12"/>
  <c r="B6" i="12"/>
  <c r="D9" i="11"/>
  <c r="E9" i="11"/>
  <c r="F9" i="11"/>
  <c r="G9" i="11"/>
  <c r="C9" i="11"/>
  <c r="D8" i="11"/>
  <c r="E8" i="11"/>
  <c r="F8" i="11"/>
  <c r="G8" i="11"/>
  <c r="C8" i="11"/>
  <c r="C6" i="11"/>
  <c r="D6" i="11"/>
  <c r="E6" i="11"/>
  <c r="F6" i="11"/>
  <c r="G6" i="11"/>
  <c r="C7" i="11"/>
  <c r="D7" i="11"/>
  <c r="E7" i="11"/>
  <c r="F7" i="11"/>
  <c r="G7" i="11"/>
  <c r="B7" i="11"/>
  <c r="B6" i="11"/>
  <c r="D12" i="10"/>
  <c r="E12" i="10"/>
  <c r="F12" i="10"/>
  <c r="G12" i="10"/>
  <c r="C12" i="10"/>
  <c r="D11" i="10"/>
  <c r="E11" i="10"/>
  <c r="F11" i="10"/>
  <c r="G11" i="10"/>
  <c r="C11" i="10"/>
  <c r="C9" i="10"/>
  <c r="D9" i="10"/>
  <c r="E9" i="10"/>
  <c r="F9" i="10"/>
  <c r="G9" i="10"/>
  <c r="C10" i="10"/>
  <c r="D10" i="10"/>
  <c r="E10" i="10"/>
  <c r="F10" i="10"/>
  <c r="G10" i="10"/>
  <c r="B10" i="10"/>
  <c r="B9" i="10"/>
  <c r="D8" i="10"/>
  <c r="E8" i="10"/>
  <c r="F8" i="10"/>
  <c r="G8" i="10"/>
  <c r="C8" i="10"/>
  <c r="C6" i="10"/>
  <c r="D6" i="10"/>
  <c r="E6" i="10"/>
  <c r="F6" i="10"/>
  <c r="G6" i="10"/>
  <c r="C7" i="10"/>
  <c r="D7" i="10"/>
  <c r="E7" i="10"/>
  <c r="F7" i="10"/>
  <c r="G7" i="10"/>
  <c r="B7" i="10"/>
  <c r="B6" i="10"/>
  <c r="D8" i="9"/>
  <c r="E8" i="9"/>
  <c r="F8" i="9"/>
  <c r="G8" i="9"/>
  <c r="C8" i="9"/>
  <c r="C6" i="9"/>
  <c r="D6" i="9"/>
  <c r="E6" i="9"/>
  <c r="F6" i="9"/>
  <c r="G6" i="9"/>
  <c r="C7" i="9"/>
  <c r="D7" i="9"/>
  <c r="E7" i="9"/>
  <c r="F7" i="9"/>
  <c r="G7" i="9"/>
  <c r="B7" i="9"/>
  <c r="B6" i="9"/>
  <c r="D8" i="8"/>
  <c r="E8" i="8"/>
  <c r="F8" i="8"/>
  <c r="G8" i="8"/>
  <c r="C8" i="8"/>
  <c r="C6" i="8"/>
  <c r="D6" i="8"/>
  <c r="E6" i="8"/>
  <c r="F6" i="8"/>
  <c r="G6" i="8"/>
  <c r="C7" i="8"/>
  <c r="D7" i="8"/>
  <c r="E7" i="8"/>
  <c r="F7" i="8"/>
  <c r="G7" i="8"/>
  <c r="B7" i="8"/>
  <c r="B6" i="8"/>
  <c r="D8" i="7"/>
  <c r="E8" i="7"/>
  <c r="F8" i="7"/>
  <c r="G8" i="7"/>
  <c r="C8" i="7"/>
  <c r="C6" i="7"/>
  <c r="D6" i="7"/>
  <c r="E6" i="7"/>
  <c r="F6" i="7"/>
  <c r="G6" i="7"/>
  <c r="C7" i="7"/>
  <c r="D7" i="7"/>
  <c r="E7" i="7"/>
  <c r="F7" i="7"/>
  <c r="G7" i="7"/>
  <c r="B7" i="7"/>
  <c r="B6" i="7"/>
  <c r="D157" i="6"/>
  <c r="E157" i="6"/>
  <c r="F157" i="6"/>
  <c r="G157" i="6"/>
  <c r="C157" i="6"/>
  <c r="D156" i="6"/>
  <c r="E156" i="6"/>
  <c r="F156" i="6"/>
  <c r="G156" i="6"/>
  <c r="C156" i="6"/>
  <c r="C154" i="6"/>
  <c r="D154" i="6"/>
  <c r="E154" i="6"/>
  <c r="F154" i="6"/>
  <c r="G154" i="6"/>
  <c r="C155" i="6"/>
  <c r="D155" i="6"/>
  <c r="E155" i="6"/>
  <c r="F155" i="6"/>
  <c r="G155" i="6"/>
  <c r="B155" i="6"/>
  <c r="B154" i="6"/>
  <c r="D153" i="6"/>
  <c r="E153" i="6"/>
  <c r="F153" i="6"/>
  <c r="G153" i="6"/>
  <c r="C153" i="6"/>
  <c r="D152" i="6"/>
  <c r="E152" i="6"/>
  <c r="F152" i="6"/>
  <c r="G152" i="6"/>
  <c r="C152" i="6"/>
  <c r="C150" i="6"/>
  <c r="D150" i="6"/>
  <c r="E150" i="6"/>
  <c r="F150" i="6"/>
  <c r="G150" i="6"/>
  <c r="C151" i="6"/>
  <c r="D151" i="6"/>
  <c r="E151" i="6"/>
  <c r="F151" i="6"/>
  <c r="G151" i="6"/>
  <c r="B151" i="6"/>
  <c r="B150" i="6"/>
  <c r="D149" i="6"/>
  <c r="E149" i="6"/>
  <c r="F149" i="6"/>
  <c r="G149" i="6"/>
  <c r="C149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D144" i="6"/>
  <c r="E144" i="6"/>
  <c r="F144" i="6"/>
  <c r="G144" i="6"/>
  <c r="C144" i="6"/>
  <c r="D143" i="6"/>
  <c r="E143" i="6"/>
  <c r="F143" i="6"/>
  <c r="G143" i="6"/>
  <c r="C143" i="6"/>
  <c r="C141" i="6"/>
  <c r="D141" i="6"/>
  <c r="E141" i="6"/>
  <c r="F141" i="6"/>
  <c r="G141" i="6"/>
  <c r="C142" i="6"/>
  <c r="D142" i="6"/>
  <c r="E142" i="6"/>
  <c r="F142" i="6"/>
  <c r="G142" i="6"/>
  <c r="B142" i="6"/>
  <c r="B141" i="6"/>
  <c r="D140" i="6"/>
  <c r="E140" i="6"/>
  <c r="F140" i="6"/>
  <c r="G140" i="6"/>
  <c r="C140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D135" i="6"/>
  <c r="E135" i="6"/>
  <c r="F135" i="6"/>
  <c r="G135" i="6"/>
  <c r="C135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D130" i="6"/>
  <c r="E130" i="6"/>
  <c r="F130" i="6"/>
  <c r="G130" i="6"/>
  <c r="C130" i="6"/>
  <c r="C128" i="6"/>
  <c r="D128" i="6"/>
  <c r="E128" i="6"/>
  <c r="F128" i="6"/>
  <c r="G128" i="6"/>
  <c r="C129" i="6"/>
  <c r="D129" i="6"/>
  <c r="E129" i="6"/>
  <c r="F129" i="6"/>
  <c r="G129" i="6"/>
  <c r="B129" i="6"/>
  <c r="B128" i="6"/>
  <c r="D125" i="6"/>
  <c r="E125" i="6"/>
  <c r="F125" i="6"/>
  <c r="G125" i="6"/>
  <c r="C125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D120" i="6"/>
  <c r="E120" i="6"/>
  <c r="F120" i="6"/>
  <c r="G120" i="6"/>
  <c r="C120" i="6"/>
  <c r="C118" i="6"/>
  <c r="D118" i="6"/>
  <c r="E118" i="6"/>
  <c r="F118" i="6"/>
  <c r="G118" i="6"/>
  <c r="C119" i="6"/>
  <c r="D119" i="6"/>
  <c r="E119" i="6"/>
  <c r="F119" i="6"/>
  <c r="G119" i="6"/>
  <c r="B119" i="6"/>
  <c r="B118" i="6"/>
  <c r="D115" i="6"/>
  <c r="E115" i="6"/>
  <c r="F115" i="6"/>
  <c r="G115" i="6"/>
  <c r="C115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D110" i="6"/>
  <c r="E110" i="6"/>
  <c r="F110" i="6"/>
  <c r="G110" i="6"/>
  <c r="C110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D105" i="6"/>
  <c r="E105" i="6"/>
  <c r="F105" i="6"/>
  <c r="G105" i="6"/>
  <c r="C105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D100" i="6"/>
  <c r="E100" i="6"/>
  <c r="F100" i="6"/>
  <c r="G100" i="6"/>
  <c r="C100" i="6"/>
  <c r="C98" i="6"/>
  <c r="D98" i="6"/>
  <c r="E98" i="6"/>
  <c r="F98" i="6"/>
  <c r="G98" i="6"/>
  <c r="C99" i="6"/>
  <c r="D99" i="6"/>
  <c r="E99" i="6"/>
  <c r="F99" i="6"/>
  <c r="G99" i="6"/>
  <c r="B99" i="6"/>
  <c r="B98" i="6"/>
  <c r="D95" i="6"/>
  <c r="E95" i="6"/>
  <c r="F95" i="6"/>
  <c r="G95" i="6"/>
  <c r="C95" i="6"/>
  <c r="C93" i="6"/>
  <c r="D93" i="6"/>
  <c r="E93" i="6"/>
  <c r="F93" i="6"/>
  <c r="G93" i="6"/>
  <c r="B93" i="6"/>
  <c r="D90" i="6"/>
  <c r="E90" i="6"/>
  <c r="F90" i="6"/>
  <c r="G90" i="6"/>
  <c r="C90" i="6"/>
  <c r="C88" i="6"/>
  <c r="D88" i="6"/>
  <c r="E88" i="6"/>
  <c r="F88" i="6"/>
  <c r="G88" i="6"/>
  <c r="C89" i="6"/>
  <c r="D89" i="6"/>
  <c r="E89" i="6"/>
  <c r="F89" i="6"/>
  <c r="G89" i="6"/>
  <c r="B89" i="6"/>
  <c r="B88" i="6"/>
  <c r="D85" i="6"/>
  <c r="E85" i="6"/>
  <c r="F85" i="6"/>
  <c r="G85" i="6"/>
  <c r="C85" i="6"/>
  <c r="C83" i="6"/>
  <c r="D83" i="6"/>
  <c r="E83" i="6"/>
  <c r="F83" i="6"/>
  <c r="G83" i="6"/>
  <c r="C84" i="6"/>
  <c r="D84" i="6"/>
  <c r="E84" i="6"/>
  <c r="F84" i="6"/>
  <c r="G84" i="6"/>
  <c r="B84" i="6"/>
  <c r="B83" i="6"/>
  <c r="D80" i="6"/>
  <c r="E80" i="6"/>
  <c r="F80" i="6"/>
  <c r="G80" i="6"/>
  <c r="C80" i="6"/>
  <c r="C78" i="6"/>
  <c r="D78" i="6"/>
  <c r="E78" i="6"/>
  <c r="F78" i="6"/>
  <c r="G78" i="6"/>
  <c r="C79" i="6"/>
  <c r="D79" i="6"/>
  <c r="E79" i="6"/>
  <c r="F79" i="6"/>
  <c r="G79" i="6"/>
  <c r="B79" i="6"/>
  <c r="B78" i="6"/>
  <c r="D75" i="6"/>
  <c r="E75" i="6"/>
  <c r="F75" i="6"/>
  <c r="G75" i="6"/>
  <c r="C75" i="6"/>
  <c r="C72" i="6"/>
  <c r="D72" i="6"/>
  <c r="E72" i="6"/>
  <c r="F72" i="6"/>
  <c r="G72" i="6"/>
  <c r="C73" i="6"/>
  <c r="D73" i="6"/>
  <c r="E73" i="6"/>
  <c r="F73" i="6"/>
  <c r="G73" i="6"/>
  <c r="C74" i="6"/>
  <c r="D74" i="6"/>
  <c r="E74" i="6"/>
  <c r="F74" i="6"/>
  <c r="G74" i="6"/>
  <c r="B74" i="6"/>
  <c r="B73" i="6"/>
  <c r="B72" i="6"/>
  <c r="D69" i="6"/>
  <c r="E69" i="6"/>
  <c r="F69" i="6"/>
  <c r="G69" i="6"/>
  <c r="C69" i="6"/>
  <c r="C67" i="6"/>
  <c r="D67" i="6"/>
  <c r="E67" i="6"/>
  <c r="F67" i="6"/>
  <c r="G67" i="6"/>
  <c r="C68" i="6"/>
  <c r="D68" i="6"/>
  <c r="E68" i="6"/>
  <c r="F68" i="6"/>
  <c r="G68" i="6"/>
  <c r="B68" i="6"/>
  <c r="B67" i="6"/>
  <c r="D64" i="6"/>
  <c r="E64" i="6"/>
  <c r="F64" i="6"/>
  <c r="G64" i="6"/>
  <c r="C64" i="6"/>
  <c r="C62" i="6"/>
  <c r="D62" i="6"/>
  <c r="E62" i="6"/>
  <c r="F62" i="6"/>
  <c r="G62" i="6"/>
  <c r="C63" i="6"/>
  <c r="D63" i="6"/>
  <c r="E63" i="6"/>
  <c r="F63" i="6"/>
  <c r="G63" i="6"/>
  <c r="B63" i="6"/>
  <c r="B62" i="6"/>
  <c r="D59" i="6"/>
  <c r="E59" i="6"/>
  <c r="F59" i="6"/>
  <c r="G59" i="6"/>
  <c r="C59" i="6"/>
  <c r="C57" i="6"/>
  <c r="D57" i="6"/>
  <c r="E57" i="6"/>
  <c r="F57" i="6"/>
  <c r="G57" i="6"/>
  <c r="C58" i="6"/>
  <c r="D58" i="6"/>
  <c r="E58" i="6"/>
  <c r="F58" i="6"/>
  <c r="G58" i="6"/>
  <c r="B58" i="6"/>
  <c r="B57" i="6"/>
  <c r="D54" i="6"/>
  <c r="E54" i="6"/>
  <c r="F54" i="6"/>
  <c r="G54" i="6"/>
  <c r="C54" i="6"/>
  <c r="C51" i="6"/>
  <c r="D51" i="6"/>
  <c r="E51" i="6"/>
  <c r="F51" i="6"/>
  <c r="G51" i="6"/>
  <c r="C52" i="6"/>
  <c r="D52" i="6"/>
  <c r="E52" i="6"/>
  <c r="F52" i="6"/>
  <c r="G52" i="6"/>
  <c r="C53" i="6"/>
  <c r="D53" i="6"/>
  <c r="E53" i="6"/>
  <c r="F53" i="6"/>
  <c r="G53" i="6"/>
  <c r="B53" i="6"/>
  <c r="B52" i="6"/>
  <c r="B51" i="6"/>
  <c r="D48" i="6"/>
  <c r="E48" i="6"/>
  <c r="F48" i="6"/>
  <c r="G48" i="6"/>
  <c r="C48" i="6"/>
  <c r="C46" i="6"/>
  <c r="D46" i="6"/>
  <c r="E46" i="6"/>
  <c r="F46" i="6"/>
  <c r="G46" i="6"/>
  <c r="C47" i="6"/>
  <c r="D47" i="6"/>
  <c r="E47" i="6"/>
  <c r="F47" i="6"/>
  <c r="G47" i="6"/>
  <c r="B47" i="6"/>
  <c r="B46" i="6"/>
  <c r="D43" i="6"/>
  <c r="E43" i="6"/>
  <c r="F43" i="6"/>
  <c r="G43" i="6"/>
  <c r="C43" i="6"/>
  <c r="C41" i="6"/>
  <c r="D41" i="6"/>
  <c r="E41" i="6"/>
  <c r="F41" i="6"/>
  <c r="G41" i="6"/>
  <c r="C42" i="6"/>
  <c r="D42" i="6"/>
  <c r="E42" i="6"/>
  <c r="F42" i="6"/>
  <c r="G42" i="6"/>
  <c r="B42" i="6"/>
  <c r="B41" i="6"/>
  <c r="D38" i="6"/>
  <c r="E38" i="6"/>
  <c r="F38" i="6"/>
  <c r="G38" i="6"/>
  <c r="C38" i="6"/>
  <c r="C36" i="6"/>
  <c r="D36" i="6"/>
  <c r="E36" i="6"/>
  <c r="F36" i="6"/>
  <c r="G36" i="6"/>
  <c r="C37" i="6"/>
  <c r="D37" i="6"/>
  <c r="E37" i="6"/>
  <c r="F37" i="6"/>
  <c r="G37" i="6"/>
  <c r="B37" i="6"/>
  <c r="B36" i="6"/>
  <c r="D33" i="6"/>
  <c r="E33" i="6"/>
  <c r="F33" i="6"/>
  <c r="G33" i="6"/>
  <c r="C33" i="6"/>
  <c r="D32" i="6"/>
  <c r="E32" i="6"/>
  <c r="F32" i="6"/>
  <c r="G32" i="6"/>
  <c r="C32" i="6"/>
  <c r="C30" i="6"/>
  <c r="D30" i="6"/>
  <c r="E30" i="6"/>
  <c r="F30" i="6"/>
  <c r="G30" i="6"/>
  <c r="C31" i="6"/>
  <c r="D31" i="6"/>
  <c r="E31" i="6"/>
  <c r="F31" i="6"/>
  <c r="G31" i="6"/>
  <c r="B31" i="6"/>
  <c r="B30" i="6"/>
  <c r="D27" i="6"/>
  <c r="E27" i="6"/>
  <c r="F27" i="6"/>
  <c r="G27" i="6"/>
  <c r="C27" i="6"/>
  <c r="D26" i="6"/>
  <c r="E26" i="6"/>
  <c r="F26" i="6"/>
  <c r="G26" i="6"/>
  <c r="C26" i="6"/>
  <c r="C24" i="6"/>
  <c r="D24" i="6"/>
  <c r="E24" i="6"/>
  <c r="F24" i="6"/>
  <c r="G24" i="6"/>
  <c r="C25" i="6"/>
  <c r="D25" i="6"/>
  <c r="E25" i="6"/>
  <c r="F25" i="6"/>
  <c r="G25" i="6"/>
  <c r="B25" i="6"/>
  <c r="B24" i="6"/>
  <c r="D23" i="6"/>
  <c r="E23" i="6"/>
  <c r="F23" i="6"/>
  <c r="G23" i="6"/>
  <c r="C23" i="6"/>
  <c r="C21" i="6"/>
  <c r="D21" i="6"/>
  <c r="E21" i="6"/>
  <c r="F21" i="6"/>
  <c r="G21" i="6"/>
  <c r="C22" i="6"/>
  <c r="D22" i="6"/>
  <c r="E22" i="6"/>
  <c r="F22" i="6"/>
  <c r="G22" i="6"/>
  <c r="B22" i="6"/>
  <c r="B21" i="6"/>
  <c r="D18" i="6"/>
  <c r="E18" i="6"/>
  <c r="F18" i="6"/>
  <c r="G18" i="6"/>
  <c r="C18" i="6"/>
  <c r="C16" i="6"/>
  <c r="D16" i="6"/>
  <c r="E16" i="6"/>
  <c r="F16" i="6"/>
  <c r="G16" i="6"/>
  <c r="C17" i="6"/>
  <c r="D17" i="6"/>
  <c r="E17" i="6"/>
  <c r="F17" i="6"/>
  <c r="G17" i="6"/>
  <c r="B17" i="6"/>
  <c r="B16" i="6"/>
  <c r="D13" i="6"/>
  <c r="E13" i="6"/>
  <c r="F13" i="6"/>
  <c r="G13" i="6"/>
  <c r="C13" i="6"/>
  <c r="C11" i="6"/>
  <c r="D11" i="6"/>
  <c r="E11" i="6"/>
  <c r="F11" i="6"/>
  <c r="G11" i="6"/>
  <c r="C12" i="6"/>
  <c r="D12" i="6"/>
  <c r="E12" i="6"/>
  <c r="F12" i="6"/>
  <c r="G12" i="6"/>
  <c r="B12" i="6"/>
  <c r="B11" i="6"/>
  <c r="D8" i="6"/>
  <c r="E8" i="6"/>
  <c r="F8" i="6"/>
  <c r="G8" i="6"/>
  <c r="C8" i="6"/>
  <c r="C6" i="6"/>
  <c r="D6" i="6"/>
  <c r="E6" i="6"/>
  <c r="F6" i="6"/>
  <c r="G6" i="6"/>
  <c r="C7" i="6"/>
  <c r="D7" i="6"/>
  <c r="E7" i="6"/>
  <c r="F7" i="6"/>
  <c r="G7" i="6"/>
  <c r="B7" i="6"/>
  <c r="B6" i="6"/>
  <c r="E8" i="4"/>
  <c r="F8" i="4" s="1"/>
  <c r="D8" i="4"/>
  <c r="F25" i="4"/>
  <c r="G25" i="4"/>
  <c r="E25" i="4"/>
  <c r="D25" i="4"/>
  <c r="E48" i="5"/>
  <c r="F48" i="5"/>
  <c r="G48" i="5"/>
  <c r="E47" i="5"/>
  <c r="F47" i="5"/>
  <c r="G47" i="5"/>
  <c r="D47" i="5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5" i="5"/>
  <c r="F35" i="5"/>
  <c r="G35" i="5"/>
  <c r="E34" i="5"/>
  <c r="F34" i="5"/>
  <c r="G34" i="5"/>
  <c r="D34" i="5"/>
  <c r="E33" i="5"/>
  <c r="F33" i="5"/>
  <c r="G33" i="5"/>
  <c r="D33" i="5"/>
  <c r="D35" i="5" s="1"/>
  <c r="D48" i="5" s="1"/>
  <c r="D38" i="4" s="1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7" i="5"/>
  <c r="F27" i="5"/>
  <c r="G27" i="5"/>
  <c r="D27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10" i="5"/>
  <c r="F10" i="5"/>
  <c r="G10" i="5"/>
  <c r="D10" i="5"/>
  <c r="E9" i="5"/>
  <c r="F9" i="5"/>
  <c r="G9" i="5"/>
  <c r="D9" i="5"/>
  <c r="E8" i="5"/>
  <c r="F8" i="5"/>
  <c r="G8" i="5"/>
  <c r="D8" i="5"/>
  <c r="E7" i="5"/>
  <c r="F7" i="5"/>
  <c r="G7" i="5"/>
  <c r="D7" i="5"/>
  <c r="E5" i="5"/>
  <c r="F5" i="5"/>
  <c r="G5" i="5"/>
  <c r="D5" i="5"/>
  <c r="D26" i="4"/>
  <c r="D30" i="4" s="1"/>
  <c r="E26" i="4"/>
  <c r="E30" i="4" s="1"/>
  <c r="F26" i="4"/>
  <c r="F30" i="4" s="1"/>
  <c r="G26" i="4"/>
  <c r="G30" i="4" s="1"/>
  <c r="D19" i="4"/>
  <c r="E19" i="4"/>
  <c r="F19" i="4"/>
  <c r="G19" i="4"/>
  <c r="D13" i="4"/>
  <c r="E13" i="4"/>
  <c r="F13" i="4"/>
  <c r="G13" i="4"/>
  <c r="D9" i="4"/>
  <c r="D21" i="4" s="1"/>
  <c r="E9" i="4"/>
  <c r="E21" i="4" s="1"/>
  <c r="D7" i="4"/>
  <c r="E7" i="4"/>
  <c r="F7" i="4"/>
  <c r="G7" i="4"/>
  <c r="C39" i="4"/>
  <c r="C30" i="4"/>
  <c r="C40" i="4" s="1"/>
  <c r="C26" i="4"/>
  <c r="C19" i="4"/>
  <c r="C13" i="4"/>
  <c r="C7" i="4"/>
  <c r="C9" i="4" s="1"/>
  <c r="C21" i="4" s="1"/>
  <c r="D35" i="3"/>
  <c r="E35" i="3"/>
  <c r="F35" i="3"/>
  <c r="G35" i="3"/>
  <c r="C35" i="3"/>
  <c r="D30" i="3"/>
  <c r="E30" i="3"/>
  <c r="F30" i="3"/>
  <c r="G30" i="3"/>
  <c r="D27" i="3"/>
  <c r="E27" i="3"/>
  <c r="F27" i="3"/>
  <c r="G27" i="3"/>
  <c r="D25" i="3"/>
  <c r="E25" i="3"/>
  <c r="F25" i="3"/>
  <c r="G25" i="3"/>
  <c r="D23" i="3"/>
  <c r="E23" i="3"/>
  <c r="F23" i="3"/>
  <c r="G23" i="3"/>
  <c r="D21" i="3"/>
  <c r="E21" i="3"/>
  <c r="F21" i="3"/>
  <c r="G21" i="3"/>
  <c r="D19" i="3"/>
  <c r="E19" i="3"/>
  <c r="F19" i="3"/>
  <c r="G19" i="3"/>
  <c r="D17" i="3"/>
  <c r="E17" i="3"/>
  <c r="F17" i="3"/>
  <c r="G17" i="3"/>
  <c r="D16" i="3"/>
  <c r="E16" i="3"/>
  <c r="F16" i="3"/>
  <c r="G16" i="3"/>
  <c r="D15" i="3"/>
  <c r="E15" i="3"/>
  <c r="F15" i="3"/>
  <c r="G15" i="3"/>
  <c r="D10" i="3"/>
  <c r="E10" i="3"/>
  <c r="F10" i="3"/>
  <c r="G10" i="3"/>
  <c r="D7" i="3"/>
  <c r="E7" i="3"/>
  <c r="F7" i="3"/>
  <c r="G7" i="3"/>
  <c r="C30" i="3"/>
  <c r="C27" i="3"/>
  <c r="C25" i="3"/>
  <c r="C23" i="3"/>
  <c r="C21" i="3"/>
  <c r="C19" i="3"/>
  <c r="C17" i="3"/>
  <c r="C16" i="3"/>
  <c r="C15" i="3"/>
  <c r="C10" i="3"/>
  <c r="C7" i="3"/>
  <c r="E38" i="4" l="1"/>
  <c r="D39" i="4"/>
  <c r="D40" i="4"/>
  <c r="G8" i="4"/>
  <c r="G9" i="4" s="1"/>
  <c r="G21" i="4" s="1"/>
  <c r="F9" i="4"/>
  <c r="F21" i="4" s="1"/>
  <c r="F38" i="4" l="1"/>
  <c r="E39" i="4"/>
  <c r="E40" i="4" s="1"/>
  <c r="F39" i="4" l="1"/>
  <c r="F40" i="4" s="1"/>
  <c r="G38" i="4"/>
  <c r="G39" i="4" s="1"/>
  <c r="G40" i="4" s="1"/>
</calcChain>
</file>

<file path=xl/sharedStrings.xml><?xml version="1.0" encoding="utf-8"?>
<sst xmlns="http://schemas.openxmlformats.org/spreadsheetml/2006/main" count="490" uniqueCount="203">
  <si>
    <t>Balance Sheet of Bajaj Finance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</si>
  <si>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</si>
  <si>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</si>
  <si>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</si>
  <si>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</si>
  <si>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</si>
  <si>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</si>
  <si>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</si>
  <si>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</si>
  <si>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</si>
  <si>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</si>
  <si>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</si>
  <si>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</si>
  <si>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</si>
  <si>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</si>
  <si>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</si>
  <si>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</si>
  <si>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</si>
  <si>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</si>
  <si>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</si>
  <si>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</si>
  <si>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</si>
  <si>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</si>
  <si>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</si>
  <si>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</si>
  <si>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</si>
  <si>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</si>
  <si>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</si>
  <si>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</si>
  <si>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</si>
  <si>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</si>
  <si>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</si>
  <si>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</si>
  <si>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</si>
  <si>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</si>
  <si>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</si>
  <si>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</si>
  <si>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</si>
  <si>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</si>
  <si>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</si>
  <si>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</si>
  <si>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</si>
  <si>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</si>
  <si>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</si>
  <si>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</si>
  <si>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</si>
  <si>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</si>
  <si>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</si>
  <si>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</si>
  <si>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</si>
  <si>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</si>
  <si>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</si>
  <si>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</si>
  <si>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</si>
  <si>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</si>
  <si>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Bajaj Finance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</si>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</sst>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8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2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3" fillId="5" borderId="0" xfId="0" applyFont="1" applyFill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0" fontId="7" fillId="0" borderId="0" xfId="0" applyNumberFormat="1" applyFont="1"/>
    <xf numFmtId="16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6C4-4576-B86E-396F054F86D5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6C4-4576-B86E-396F054F86D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6C4-4576-B86E-396F054F86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'Earning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'Earning  Per Share'!$C$8:$G$8</c:f>
              <c:numCache>
                <c:formatCode>General</c:formatCode>
                <c:ptCount val="5"/>
                <c:pt idx="0">
                  <c:v>48</c:v>
                </c:pt>
                <c:pt idx="1">
                  <c:v>69</c:v>
                </c:pt>
                <c:pt idx="2">
                  <c:v>90</c:v>
                </c:pt>
                <c:pt idx="3">
                  <c:v>74</c:v>
                </c:pt>
                <c:pt idx="4">
                  <c:v>117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6C4-4576-B86E-396F054F8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3048"/>
        <c:axId val="449430592"/>
      </c:lineChart>
      <c:catAx>
        <c:axId val="449423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0592"/>
        <c:crosses val="autoZero"/>
        <c:auto val="0"/>
        <c:lblAlgn val="ctr"/>
        <c:lblOffset val="100"/>
        <c:noMultiLvlLbl val="0"/>
      </c:catAx>
      <c:valAx>
        <c:axId val="4494305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30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480-43E3-9474-DCF245DF94D4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480-43E3-9474-DCF245DF94D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Equity'!$C$3:$G$3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Equity'!$C$8:$G$8</c:f>
              <c:numCache>
                <c:formatCode>0.00%</c:formatCode>
                <c:ptCount val="5"/>
                <c:pt idx="0">
                  <c:v>0.08</c:v>
                </c:pt>
                <c:pt idx="1">
                  <c:v>0.12</c:v>
                </c:pt>
                <c:pt idx="2">
                  <c:v>0.15</c:v>
                </c:pt>
                <c:pt idx="3">
                  <c:v>0.13</c:v>
                </c:pt>
                <c:pt idx="4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480-43E3-9474-DCF245DF9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6000"/>
        <c:axId val="449423376"/>
      </c:lineChart>
      <c:catAx>
        <c:axId val="44942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3376"/>
        <c:crosses val="autoZero"/>
        <c:auto val="0"/>
        <c:lblAlgn val="ctr"/>
        <c:lblOffset val="100"/>
        <c:noMultiLvlLbl val="0"/>
      </c:catAx>
      <c:valAx>
        <c:axId val="449423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260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DD4-45B0-9A2C-8A0A91F1707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 Equity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 Equity Ratio'!$C$8:$G$8</c:f>
              <c:numCache>
                <c:formatCode>General</c:formatCode>
                <c:ptCount val="5"/>
                <c:pt idx="0">
                  <c:v>3.42</c:v>
                </c:pt>
                <c:pt idx="1">
                  <c:v>4.6900000000000004</c:v>
                </c:pt>
                <c:pt idx="2">
                  <c:v>4.3899999999999997</c:v>
                </c:pt>
                <c:pt idx="3">
                  <c:v>3.31</c:v>
                </c:pt>
                <c:pt idx="4">
                  <c:v>1.68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DD4-45B0-9A2C-8A0A91F17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7968"/>
        <c:axId val="449425672"/>
      </c:lineChart>
      <c:catAx>
        <c:axId val="449427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5672"/>
        <c:crosses val="autoZero"/>
        <c:auto val="0"/>
        <c:lblAlgn val="ctr"/>
        <c:lblOffset val="100"/>
        <c:noMultiLvlLbl val="0"/>
      </c:catAx>
      <c:valAx>
        <c:axId val="449425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79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6CD-45BF-AF88-8ACB018CADFA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6CD-45BF-AF88-8ACB018CADF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'Current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'Current Ratio'!$C$8:$G$8</c:f>
              <c:numCache>
                <c:formatCode>General</c:formatCode>
                <c:ptCount val="5"/>
                <c:pt idx="0">
                  <c:v>6.11</c:v>
                </c:pt>
                <c:pt idx="1">
                  <c:v>39.71</c:v>
                </c:pt>
                <c:pt idx="2">
                  <c:v>63.45</c:v>
                </c:pt>
                <c:pt idx="3">
                  <c:v>52.46</c:v>
                </c:pt>
                <c:pt idx="4">
                  <c:v>2.4700000000000002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6CD-45BF-AF88-8ACB018CA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52112"/>
        <c:axId val="559954408"/>
      </c:lineChart>
      <c:catAx>
        <c:axId val="559952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54408"/>
        <c:crosses val="autoZero"/>
        <c:auto val="0"/>
        <c:lblAlgn val="ctr"/>
        <c:lblOffset val="100"/>
        <c:noMultiLvlLbl val="0"/>
      </c:catAx>
      <c:valAx>
        <c:axId val="559954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9521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3F1-42D6-87AF-A2E44DDD605B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3F1-42D6-87AF-A2E44DDD605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'Quick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'Quick Ratio'!$C$9:$G$9</c:f>
              <c:numCache>
                <c:formatCode>General</c:formatCode>
                <c:ptCount val="5"/>
                <c:pt idx="0">
                  <c:v>6.11</c:v>
                </c:pt>
                <c:pt idx="1">
                  <c:v>39.71</c:v>
                </c:pt>
                <c:pt idx="2">
                  <c:v>63.45</c:v>
                </c:pt>
                <c:pt idx="3">
                  <c:v>52.46</c:v>
                </c:pt>
                <c:pt idx="4">
                  <c:v>2.4700000000000002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3F1-42D6-87AF-A2E44DDD60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51456"/>
        <c:axId val="559957360"/>
      </c:lineChart>
      <c:catAx>
        <c:axId val="55995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57360"/>
        <c:crosses val="autoZero"/>
        <c:auto val="0"/>
        <c:lblAlgn val="ctr"/>
        <c:lblOffset val="100"/>
        <c:noMultiLvlLbl val="0"/>
      </c:catAx>
      <c:valAx>
        <c:axId val="5599573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9514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89C-46E3-A0CE-8090475C0853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89C-46E3-A0CE-8090475C0853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89C-46E3-A0CE-8090475C0853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589C-46E3-A0CE-8090475C085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'Interest Coverage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'Interest Coverage Ratio'!$C$8:$G$8</c:f>
              <c:numCache>
                <c:formatCode>General</c:formatCode>
                <c:ptCount val="5"/>
                <c:pt idx="0">
                  <c:v>1.87</c:v>
                </c:pt>
                <c:pt idx="1">
                  <c:v>2.15</c:v>
                </c:pt>
                <c:pt idx="2">
                  <c:v>2.17</c:v>
                </c:pt>
                <c:pt idx="3">
                  <c:v>2.25</c:v>
                </c:pt>
                <c:pt idx="4">
                  <c:v>2.38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89C-46E3-A0CE-8090475C0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51784"/>
        <c:axId val="559952440"/>
      </c:lineChart>
      <c:catAx>
        <c:axId val="559951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52440"/>
        <c:crosses val="autoZero"/>
        <c:auto val="0"/>
        <c:lblAlgn val="ctr"/>
        <c:lblOffset val="100"/>
        <c:noMultiLvlLbl val="0"/>
      </c:catAx>
      <c:valAx>
        <c:axId val="5599524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9517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058-4A42-880D-4B113361B4BC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058-4A42-880D-4B113361B4BC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058-4A42-880D-4B113361B4BC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5058-4A42-880D-4B113361B4B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'Material Consumed'!$C$3:$G$3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'Material Consumed'!$C$8:$G$8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058-4A42-880D-4B113361B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9976"/>
        <c:axId val="364047352"/>
      </c:lineChart>
      <c:catAx>
        <c:axId val="364049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7352"/>
        <c:crosses val="autoZero"/>
        <c:auto val="0"/>
        <c:lblAlgn val="ctr"/>
        <c:lblOffset val="100"/>
        <c:noMultiLvlLbl val="0"/>
      </c:catAx>
      <c:valAx>
        <c:axId val="3640473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99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680-4B69-AA33-827C87CCB65A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680-4B69-AA33-827C87CCB65A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680-4B69-AA33-827C87CCB65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0680-4B69-AA33-827C87CCB65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'Defensive Interval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'Defensive Interval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680-4B69-AA33-827C87CCB6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765920"/>
        <c:axId val="104317432"/>
      </c:lineChart>
      <c:catAx>
        <c:axId val="440765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317432"/>
        <c:crosses val="autoZero"/>
        <c:auto val="0"/>
        <c:lblAlgn val="ctr"/>
        <c:lblOffset val="100"/>
        <c:noMultiLvlLbl val="0"/>
      </c:catAx>
      <c:valAx>
        <c:axId val="1043174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07659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2E3-4267-9CD7-A714ECC2A9D6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2E3-4267-9CD7-A714ECC2A9D6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E2E3-4267-9CD7-A714ECC2A9D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'Purchases Per Day'!$C$3:$G$3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'Purchases Per Day'!$C$8:$G$8</c:f>
              <c:numCache>
                <c:formatCode>General</c:formatCode>
                <c:ptCount val="5"/>
                <c:pt idx="0">
                  <c:v>339.46</c:v>
                </c:pt>
                <c:pt idx="1">
                  <c:v>2472.88</c:v>
                </c:pt>
                <c:pt idx="2">
                  <c:v>-926.77</c:v>
                </c:pt>
                <c:pt idx="3">
                  <c:v>5870.32</c:v>
                </c:pt>
                <c:pt idx="4">
                  <c:v>11859.44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E3-4267-9CD7-A714ECC2A9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60640"/>
        <c:axId val="559959656"/>
      </c:lineChart>
      <c:catAx>
        <c:axId val="55996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59656"/>
        <c:crosses val="autoZero"/>
        <c:auto val="0"/>
        <c:lblAlgn val="ctr"/>
        <c:lblOffset val="100"/>
        <c:noMultiLvlLbl val="0"/>
      </c:catAx>
      <c:valAx>
        <c:axId val="559959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9606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25F-4DD6-9349-FDC1EDD619EA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25F-4DD6-9349-FDC1EDD619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'Asset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'Asset TurnOver Ratio'!$C$8:$G$8</c:f>
              <c:numCache>
                <c:formatCode>General</c:formatCode>
                <c:ptCount val="5"/>
                <c:pt idx="0">
                  <c:v>0.14000000000000001</c:v>
                </c:pt>
                <c:pt idx="1">
                  <c:v>0.15</c:v>
                </c:pt>
                <c:pt idx="2">
                  <c:v>0.16</c:v>
                </c:pt>
                <c:pt idx="3">
                  <c:v>0.15</c:v>
                </c:pt>
                <c:pt idx="4">
                  <c:v>0.14000000000000001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25F-4DD6-9349-FDC1EDD619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961296"/>
        <c:axId val="559962936"/>
      </c:lineChart>
      <c:catAx>
        <c:axId val="559961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62936"/>
        <c:crosses val="autoZero"/>
        <c:auto val="0"/>
        <c:lblAlgn val="ctr"/>
        <c:lblOffset val="100"/>
        <c:noMultiLvlLbl val="0"/>
      </c:catAx>
      <c:valAx>
        <c:axId val="559962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9612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3EA-48DF-995F-7F0884253112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3EA-48DF-995F-7F0884253112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3EA-48DF-995F-7F088425311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93EA-48DF-995F-7F088425311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TurnOver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3EA-48DF-995F-7F08842531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385424"/>
        <c:axId val="554379520"/>
      </c:lineChart>
      <c:catAx>
        <c:axId val="554385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379520"/>
        <c:crosses val="autoZero"/>
        <c:auto val="0"/>
        <c:lblAlgn val="ctr"/>
        <c:lblOffset val="100"/>
        <c:noMultiLvlLbl val="0"/>
      </c:catAx>
      <c:valAx>
        <c:axId val="5543795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43854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199-4BCF-9BBD-B91E0395C89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199-4BCF-9BBD-B91E0395C8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'Equity Dividend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'Equity Dividend Per Share'!$C$8:$G$8</c:f>
              <c:numCache>
                <c:formatCode>General</c:formatCode>
                <c:ptCount val="5"/>
                <c:pt idx="0">
                  <c:v>3.64</c:v>
                </c:pt>
                <c:pt idx="1">
                  <c:v>2.95</c:v>
                </c:pt>
                <c:pt idx="2">
                  <c:v>9.4499999999999993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199-4BCF-9BBD-B91E0395C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5384"/>
        <c:axId val="364048336"/>
      </c:lineChart>
      <c:catAx>
        <c:axId val="364045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8336"/>
        <c:crosses val="autoZero"/>
        <c:auto val="0"/>
        <c:lblAlgn val="ctr"/>
        <c:lblOffset val="100"/>
        <c:noMultiLvlLbl val="0"/>
      </c:catAx>
      <c:valAx>
        <c:axId val="364048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53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3DD-4B6A-8261-CCB59B368548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3DD-4B6A-8261-CCB59B368548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3DD-4B6A-8261-CCB59B36854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'Debtors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'Debtors TurnOver Ratio'!$C$8:$G$8</c:f>
              <c:numCache>
                <c:formatCode>General</c:formatCode>
                <c:ptCount val="5"/>
                <c:pt idx="0">
                  <c:v>0.36</c:v>
                </c:pt>
                <c:pt idx="1">
                  <c:v>22.75</c:v>
                </c:pt>
                <c:pt idx="2">
                  <c:v>27.53</c:v>
                </c:pt>
                <c:pt idx="3">
                  <c:v>23.94</c:v>
                </c:pt>
                <c:pt idx="4">
                  <c:v>24.28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3DD-4B6A-8261-CCB59B368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5712"/>
        <c:axId val="439797384"/>
      </c:lineChart>
      <c:catAx>
        <c:axId val="36404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797384"/>
        <c:crosses val="autoZero"/>
        <c:auto val="0"/>
        <c:lblAlgn val="ctr"/>
        <c:lblOffset val="100"/>
        <c:noMultiLvlLbl val="0"/>
      </c:catAx>
      <c:valAx>
        <c:axId val="439797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57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DCD-4762-AC19-7A5D0E564B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'Fixed Assets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'Fixed Assets TurnOver Ratio'!$C$8:$G$8</c:f>
              <c:numCache>
                <c:formatCode>General</c:formatCode>
                <c:ptCount val="5"/>
                <c:pt idx="0">
                  <c:v>35.64</c:v>
                </c:pt>
                <c:pt idx="1">
                  <c:v>34.94</c:v>
                </c:pt>
                <c:pt idx="2">
                  <c:v>23.9</c:v>
                </c:pt>
                <c:pt idx="3">
                  <c:v>25.44</c:v>
                </c:pt>
                <c:pt idx="4">
                  <c:v>17.59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CD-4762-AC19-7A5D0E564B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30640"/>
        <c:axId val="553632608"/>
      </c:lineChart>
      <c:catAx>
        <c:axId val="5536306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32608"/>
        <c:crosses val="autoZero"/>
        <c:auto val="0"/>
        <c:lblAlgn val="ctr"/>
        <c:lblOffset val="100"/>
        <c:noMultiLvlLbl val="0"/>
      </c:catAx>
      <c:valAx>
        <c:axId val="5536326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306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A49-499E-A533-3D59745B7205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A49-499E-A533-3D59745B7205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DA49-499E-A533-3D59745B720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A49-499E-A533-3D59745B720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TurnOver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49-499E-A533-3D59745B72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447392"/>
        <c:axId val="448443456"/>
      </c:lineChart>
      <c:catAx>
        <c:axId val="44844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443456"/>
        <c:crosses val="autoZero"/>
        <c:auto val="0"/>
        <c:lblAlgn val="ctr"/>
        <c:lblOffset val="100"/>
        <c:noMultiLvlLbl val="0"/>
      </c:catAx>
      <c:valAx>
        <c:axId val="4484434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4473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0C0-4105-8D85-CDA41E7EB25A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0C0-4105-8D85-CDA41E7EB25A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00C0-4105-8D85-CDA41E7EB25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0C0-4105-8D85-CDA41E7EB25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Days'!$C$8:$G$8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0C0-4105-8D85-CDA41E7EB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6248"/>
        <c:axId val="553593624"/>
      </c:lineChart>
      <c:catAx>
        <c:axId val="553596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3624"/>
        <c:crosses val="autoZero"/>
        <c:auto val="0"/>
        <c:lblAlgn val="ctr"/>
        <c:lblOffset val="100"/>
        <c:noMultiLvlLbl val="0"/>
      </c:catAx>
      <c:valAx>
        <c:axId val="5535936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62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DC3-4FF3-8A57-4416E3891963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DC3-4FF3-8A57-4416E3891963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3DC3-4FF3-8A57-4416E3891963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DC3-4FF3-8A57-4416E389196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Days'!$C$8:$G$8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C3-4FF3-8A57-4416E3891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447064"/>
        <c:axId val="448444440"/>
      </c:lineChart>
      <c:catAx>
        <c:axId val="448447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444440"/>
        <c:crosses val="autoZero"/>
        <c:auto val="0"/>
        <c:lblAlgn val="ctr"/>
        <c:lblOffset val="100"/>
        <c:noMultiLvlLbl val="0"/>
      </c:catAx>
      <c:valAx>
        <c:axId val="4484444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4470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F14-44D2-9823-7F7612E8A25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'Receivable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'Receivable Days'!$C$8:$G$8</c:f>
              <c:numCache>
                <c:formatCode>General</c:formatCode>
                <c:ptCount val="5"/>
                <c:pt idx="0">
                  <c:v>1015.78</c:v>
                </c:pt>
                <c:pt idx="1">
                  <c:v>16.04</c:v>
                </c:pt>
                <c:pt idx="2">
                  <c:v>13.26</c:v>
                </c:pt>
                <c:pt idx="3">
                  <c:v>15.25</c:v>
                </c:pt>
                <c:pt idx="4">
                  <c:v>15.03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F14-44D2-9823-7F7612E8A2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8864"/>
        <c:axId val="553646896"/>
      </c:lineChart>
      <c:catAx>
        <c:axId val="553648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6896"/>
        <c:crosses val="autoZero"/>
        <c:auto val="0"/>
        <c:lblAlgn val="ctr"/>
        <c:lblOffset val="100"/>
        <c:noMultiLvlLbl val="0"/>
      </c:catAx>
      <c:valAx>
        <c:axId val="5536468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88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F4E-4CF4-BC70-FE28A7AA1217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F4E-4CF4-BC70-FE28A7AA1217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EF4E-4CF4-BC70-FE28A7AA121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F4E-4CF4-BC70-FE28A7AA12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'Operating Cycle'!$C$3:$G$3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'Operating Cycle'!$C$12:$G$12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4E-4CF4-BC70-FE28A7AA12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381160"/>
        <c:axId val="554379192"/>
      </c:lineChart>
      <c:catAx>
        <c:axId val="554381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379192"/>
        <c:crosses val="autoZero"/>
        <c:auto val="0"/>
        <c:lblAlgn val="ctr"/>
        <c:lblOffset val="100"/>
        <c:noMultiLvlLbl val="0"/>
      </c:catAx>
      <c:valAx>
        <c:axId val="554379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43811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432E-4BF7-84E8-DB79825228BF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32E-4BF7-84E8-DB79825228BF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432E-4BF7-84E8-DB79825228B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32E-4BF7-84E8-DB79825228B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Conversion Cycle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'Cash Conversion Cycle Days'!$C$16:$G$16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32E-4BF7-84E8-DB79825228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4381816"/>
        <c:axId val="554383456"/>
      </c:lineChart>
      <c:catAx>
        <c:axId val="554381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383456"/>
        <c:crosses val="autoZero"/>
        <c:auto val="0"/>
        <c:lblAlgn val="ctr"/>
        <c:lblOffset val="100"/>
        <c:noMultiLvlLbl val="0"/>
      </c:catAx>
      <c:valAx>
        <c:axId val="5543834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43818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16545.649999999998</c:v>
                </c:pt>
                <c:pt idx="1">
                  <c:v>21673.77</c:v>
                </c:pt>
                <c:pt idx="2">
                  <c:v>29576.09</c:v>
                </c:pt>
                <c:pt idx="3">
                  <c:v>39801.24</c:v>
                </c:pt>
                <c:pt idx="4">
                  <c:v>50739.94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E8-4089-97B2-76295A7BC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3988984"/>
        <c:axId val="453989312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86824.34</c:v>
                </c:pt>
                <c:pt idx="1">
                  <c:v>126209.26000000001</c:v>
                </c:pt>
                <c:pt idx="2">
                  <c:v>161639.59</c:v>
                </c:pt>
                <c:pt idx="3">
                  <c:v>174409.69999999998</c:v>
                </c:pt>
                <c:pt idx="4">
                  <c:v>219532.61000000002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8E8-4089-97B2-76295A7BCA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988984"/>
        <c:axId val="453989312"/>
      </c:lineChart>
      <c:catAx>
        <c:axId val="453988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989312"/>
        <c:crosses val="autoZero"/>
        <c:auto val="1"/>
        <c:lblAlgn val="ctr"/>
        <c:lblOffset val="100"/>
        <c:noMultiLvlLbl val="0"/>
      </c:catAx>
      <c:valAx>
        <c:axId val="4539893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98898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8772.3100000000013</c:v>
                </c:pt>
                <c:pt idx="1">
                  <c:v>14358.370000000003</c:v>
                </c:pt>
                <c:pt idx="2">
                  <c:v>20868.739999999998</c:v>
                </c:pt>
                <c:pt idx="3">
                  <c:v>21536.53</c:v>
                </c:pt>
                <c:pt idx="4">
                  <c:v>23546.720000000001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B4F-4ADC-8FB1-A141713A80E8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8670.2400000000016</c:v>
                </c:pt>
                <c:pt idx="1">
                  <c:v>14214.220000000003</c:v>
                </c:pt>
                <c:pt idx="2">
                  <c:v>20574.109999999997</c:v>
                </c:pt>
                <c:pt idx="3">
                  <c:v>21211.26</c:v>
                </c:pt>
                <c:pt idx="4">
                  <c:v>23162.15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B4F-4ADC-8FB1-A141713A80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9880432"/>
        <c:axId val="449880760"/>
      </c:barChart>
      <c:catAx>
        <c:axId val="44988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880760"/>
        <c:crosses val="autoZero"/>
        <c:auto val="1"/>
        <c:lblAlgn val="ctr"/>
        <c:lblOffset val="100"/>
        <c:noMultiLvlLbl val="0"/>
      </c:catAx>
      <c:valAx>
        <c:axId val="4498807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88043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150-4548-AAF1-898B07FA8D01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150-4548-AAF1-898B07FA8D0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'Book Value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'Book Value  Per Share'!$C$8:$G$8</c:f>
              <c:numCache>
                <c:formatCode>General</c:formatCode>
                <c:ptCount val="5"/>
                <c:pt idx="0">
                  <c:v>303.83999999999997</c:v>
                </c:pt>
                <c:pt idx="1">
                  <c:v>276.61</c:v>
                </c:pt>
                <c:pt idx="2">
                  <c:v>294.37</c:v>
                </c:pt>
                <c:pt idx="3">
                  <c:v>288.05</c:v>
                </c:pt>
                <c:pt idx="4">
                  <c:v>542.73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150-4548-AAF1-898B07FA8D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583808"/>
        <c:axId val="448584136"/>
      </c:lineChart>
      <c:catAx>
        <c:axId val="448583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584136"/>
        <c:crosses val="autoZero"/>
        <c:auto val="0"/>
        <c:lblAlgn val="ctr"/>
        <c:lblOffset val="100"/>
        <c:noMultiLvlLbl val="0"/>
      </c:catAx>
      <c:valAx>
        <c:axId val="4485841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5838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83208.11</c:v>
                </c:pt>
                <c:pt idx="1">
                  <c:v>117062.81000000003</c:v>
                </c:pt>
                <c:pt idx="2">
                  <c:v>143216.75</c:v>
                </c:pt>
                <c:pt idx="3">
                  <c:v>155457.34</c:v>
                </c:pt>
                <c:pt idx="4">
                  <c:v>206688.52000000005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F35-41DA-AA09-B9379BC0BFF3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13625.27</c:v>
                </c:pt>
                <c:pt idx="1">
                  <c:v>2947.6400000000003</c:v>
                </c:pt>
                <c:pt idx="2">
                  <c:v>2257.0699999999997</c:v>
                </c:pt>
                <c:pt idx="3">
                  <c:v>2963.08</c:v>
                </c:pt>
                <c:pt idx="4">
                  <c:v>83629.59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F35-41DA-AA09-B9379BC0BF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8444112"/>
        <c:axId val="448446736"/>
      </c:barChart>
      <c:catAx>
        <c:axId val="44844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446736"/>
        <c:crosses val="autoZero"/>
        <c:auto val="1"/>
        <c:lblAlgn val="ctr"/>
        <c:lblOffset val="100"/>
        <c:noMultiLvlLbl val="0"/>
      </c:catAx>
      <c:valAx>
        <c:axId val="448446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44411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'Long And Short Term Provisions'!$C$4:$G$4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'Long And Short Term Provisions'!$C$5:$G$5</c:f>
              <c:numCache>
                <c:formatCode>.00</c:formatCode>
                <c:ptCount val="5"/>
                <c:pt idx="0">
                  <c:v>1136.3399999999999</c:v>
                </c:pt>
                <c:pt idx="1">
                  <c:v>73.89</c:v>
                </c:pt>
                <c:pt idx="2">
                  <c:v>81</c:v>
                </c:pt>
                <c:pt idx="3">
                  <c:v>137.69</c:v>
                </c:pt>
                <c:pt idx="4">
                  <c:v>166.9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12-4608-88CC-41EF8F81D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815568"/>
        <c:axId val="553817864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'Long And Short Term Provisions'!$C$6:$G$6</c:f>
              <c:numCache>
                <c:formatCode>.00</c:formatCode>
                <c:ptCount val="5"/>
                <c:pt idx="0">
                  <c:v>191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12-4608-88CC-41EF8F81D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646240"/>
        <c:axId val="548324776"/>
      </c:lineChart>
      <c:catAx>
        <c:axId val="55381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3817864"/>
        <c:crosses val="autoZero"/>
        <c:auto val="1"/>
        <c:lblAlgn val="ctr"/>
        <c:lblOffset val="100"/>
        <c:noMultiLvlLbl val="0"/>
      </c:catAx>
      <c:valAx>
        <c:axId val="553817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5568"/>
        <c:crosses val="autoZero"/>
        <c:crossBetween val="between"/>
      </c:valAx>
      <c:valAx>
        <c:axId val="54832477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3646240"/>
        <c:crosses val="max"/>
        <c:crossBetween val="between"/>
      </c:valAx>
      <c:catAx>
        <c:axId val="553646240"/>
        <c:scaling>
          <c:orientation val="minMax"/>
        </c:scaling>
        <c:delete val="1"/>
        <c:axPos val="b"/>
        <c:majorTickMark val="out"/>
        <c:minorTickMark val="none"/>
        <c:tickLblPos val="nextTo"/>
        <c:crossAx val="548324776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31-435A-ACE7-75083751F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960968"/>
        <c:axId val="559964248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712.88</c:v>
                </c:pt>
                <c:pt idx="2">
                  <c:v>1056.3699999999999</c:v>
                </c:pt>
                <c:pt idx="3">
                  <c:v>1246.48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31-435A-ACE7-75083751F7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789120"/>
        <c:axId val="554379848"/>
      </c:lineChart>
      <c:catAx>
        <c:axId val="559960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9964248"/>
        <c:crosses val="autoZero"/>
        <c:auto val="1"/>
        <c:lblAlgn val="ctr"/>
        <c:lblOffset val="100"/>
        <c:noMultiLvlLbl val="0"/>
      </c:catAx>
      <c:valAx>
        <c:axId val="5599642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960968"/>
        <c:crosses val="autoZero"/>
        <c:crossBetween val="between"/>
      </c:valAx>
      <c:valAx>
        <c:axId val="55437984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50789120"/>
        <c:crosses val="max"/>
        <c:crossBetween val="between"/>
      </c:valAx>
      <c:catAx>
        <c:axId val="450789120"/>
        <c:scaling>
          <c:orientation val="minMax"/>
        </c:scaling>
        <c:delete val="1"/>
        <c:axPos val="b"/>
        <c:majorTickMark val="out"/>
        <c:minorTickMark val="none"/>
        <c:tickLblPos val="nextTo"/>
        <c:crossAx val="55437984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Sales In Total Income'!$C$4:$G$4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Sales In Total Income'!$C$5:$G$5</c:f>
              <c:numCache>
                <c:formatCode>.00</c:formatCode>
                <c:ptCount val="5"/>
                <c:pt idx="0">
                  <c:v>12336.56</c:v>
                </c:pt>
                <c:pt idx="1">
                  <c:v>18397.29</c:v>
                </c:pt>
                <c:pt idx="2">
                  <c:v>26223.07</c:v>
                </c:pt>
                <c:pt idx="3">
                  <c:v>26504.52</c:v>
                </c:pt>
                <c:pt idx="4">
                  <c:v>30739.15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AB-41E2-A859-B49943A76BF0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'Gross Sales In Total Income'!$C$6:$G$6</c:f>
              <c:numCache>
                <c:formatCode>.00</c:formatCode>
                <c:ptCount val="5"/>
                <c:pt idx="0">
                  <c:v>12360.43</c:v>
                </c:pt>
                <c:pt idx="1">
                  <c:v>18410.330000000002</c:v>
                </c:pt>
                <c:pt idx="2">
                  <c:v>26234.94</c:v>
                </c:pt>
                <c:pt idx="3">
                  <c:v>26519.47</c:v>
                </c:pt>
                <c:pt idx="4">
                  <c:v>30747.140000000003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AB-41E2-A859-B49943A76B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4503544"/>
        <c:axId val="624506824"/>
      </c:barChart>
      <c:catAx>
        <c:axId val="624503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506824"/>
        <c:crosses val="autoZero"/>
        <c:auto val="1"/>
        <c:lblAlgn val="ctr"/>
        <c:lblOffset val="100"/>
        <c:noMultiLvlLbl val="0"/>
      </c:catAx>
      <c:valAx>
        <c:axId val="624506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50354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86824.34</c:v>
                </c:pt>
                <c:pt idx="1">
                  <c:v>126209.26000000001</c:v>
                </c:pt>
                <c:pt idx="2">
                  <c:v>161639.59</c:v>
                </c:pt>
                <c:pt idx="3">
                  <c:v>174409.69999999998</c:v>
                </c:pt>
                <c:pt idx="4">
                  <c:v>219532.61000000002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47-47D3-8432-610A3F0136E4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56653.42</c:v>
                </c:pt>
                <c:pt idx="1">
                  <c:v>101587.85</c:v>
                </c:pt>
                <c:pt idx="2">
                  <c:v>129806.43</c:v>
                </c:pt>
                <c:pt idx="3">
                  <c:v>131645.38</c:v>
                </c:pt>
                <c:pt idx="4">
                  <c:v>85163.08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247-47D3-8432-610A3F0136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2338648"/>
        <c:axId val="442340288"/>
      </c:barChart>
      <c:catAx>
        <c:axId val="442338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340288"/>
        <c:crosses val="autoZero"/>
        <c:auto val="1"/>
        <c:lblAlgn val="ctr"/>
        <c:lblOffset val="100"/>
        <c:noMultiLvlLbl val="0"/>
      </c:catAx>
      <c:valAx>
        <c:axId val="4423402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3386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86824.34</c:v>
                </c:pt>
                <c:pt idx="1">
                  <c:v>126209.26000000001</c:v>
                </c:pt>
                <c:pt idx="2">
                  <c:v>161639.59</c:v>
                </c:pt>
                <c:pt idx="3">
                  <c:v>174409.69999999998</c:v>
                </c:pt>
                <c:pt idx="4">
                  <c:v>219532.61000000002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FB-4D5E-BD91-041900CF935E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13625.27</c:v>
                </c:pt>
                <c:pt idx="1">
                  <c:v>2947.6400000000003</c:v>
                </c:pt>
                <c:pt idx="2">
                  <c:v>2257.0699999999997</c:v>
                </c:pt>
                <c:pt idx="3">
                  <c:v>2963.08</c:v>
                </c:pt>
                <c:pt idx="4">
                  <c:v>83629.59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FB-4D5E-BD91-041900CF9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6271704"/>
        <c:axId val="626275968"/>
      </c:barChart>
      <c:catAx>
        <c:axId val="626271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75968"/>
        <c:crosses val="autoZero"/>
        <c:auto val="1"/>
        <c:lblAlgn val="ctr"/>
        <c:lblOffset val="100"/>
        <c:noMultiLvlLbl val="0"/>
      </c:catAx>
      <c:valAx>
        <c:axId val="626275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7170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86824.34</c:v>
                </c:pt>
                <c:pt idx="1">
                  <c:v>126209.26000000002</c:v>
                </c:pt>
                <c:pt idx="2">
                  <c:v>161639.59</c:v>
                </c:pt>
                <c:pt idx="3">
                  <c:v>174409.7</c:v>
                </c:pt>
                <c:pt idx="4">
                  <c:v>219532.61000000004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70-413F-B1AB-9D08D0971CB0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3616.23</c:v>
                </c:pt>
                <c:pt idx="1">
                  <c:v>9146.4500000000007</c:v>
                </c:pt>
                <c:pt idx="2">
                  <c:v>18422.84</c:v>
                </c:pt>
                <c:pt idx="3">
                  <c:v>18952.36</c:v>
                </c:pt>
                <c:pt idx="4">
                  <c:v>12844.09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70-413F-B1AB-9D08D0971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4383128"/>
        <c:axId val="554382144"/>
      </c:barChart>
      <c:catAx>
        <c:axId val="5543831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382144"/>
        <c:crosses val="autoZero"/>
        <c:auto val="1"/>
        <c:lblAlgn val="ctr"/>
        <c:lblOffset val="100"/>
        <c:noMultiLvlLbl val="0"/>
      </c:catAx>
      <c:valAx>
        <c:axId val="5543821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38312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86824.34</c:v>
                </c:pt>
                <c:pt idx="1">
                  <c:v>126209.26000000002</c:v>
                </c:pt>
                <c:pt idx="2">
                  <c:v>161639.59</c:v>
                </c:pt>
                <c:pt idx="3">
                  <c:v>174409.7</c:v>
                </c:pt>
                <c:pt idx="4">
                  <c:v>219532.61000000004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9A-4E9B-9D0B-381FFD87BF7C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83208.11</c:v>
                </c:pt>
                <c:pt idx="1">
                  <c:v>117062.81000000003</c:v>
                </c:pt>
                <c:pt idx="2">
                  <c:v>143216.75</c:v>
                </c:pt>
                <c:pt idx="3">
                  <c:v>155457.34</c:v>
                </c:pt>
                <c:pt idx="4">
                  <c:v>206688.52000000005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9A-4E9B-9D0B-381FFD87B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1100360"/>
        <c:axId val="621102656"/>
      </c:barChart>
      <c:catAx>
        <c:axId val="621100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1102656"/>
        <c:crosses val="autoZero"/>
        <c:auto val="1"/>
        <c:lblAlgn val="ctr"/>
        <c:lblOffset val="100"/>
        <c:noMultiLvlLbl val="0"/>
      </c:catAx>
      <c:valAx>
        <c:axId val="621102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110036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3588.12</c:v>
                </c:pt>
                <c:pt idx="1">
                  <c:v>4051.96</c:v>
                </c:pt>
                <c:pt idx="2">
                  <c:v>5366.2</c:v>
                </c:pt>
                <c:pt idx="3">
                  <c:v>4982.9400000000005</c:v>
                </c:pt>
                <c:pt idx="4">
                  <c:v>7200.42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7B-4740-84F2-657ABFB3E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272032"/>
        <c:axId val="626273016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12360.43</c:v>
                </c:pt>
                <c:pt idx="1">
                  <c:v>18410.330000000002</c:v>
                </c:pt>
                <c:pt idx="2">
                  <c:v>26234.94</c:v>
                </c:pt>
                <c:pt idx="3">
                  <c:v>26519.47</c:v>
                </c:pt>
                <c:pt idx="4">
                  <c:v>30747.140000000003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7B-4740-84F2-657ABFB3EE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455240"/>
        <c:axId val="555452288"/>
      </c:lineChart>
      <c:catAx>
        <c:axId val="62627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73016"/>
        <c:crosses val="autoZero"/>
        <c:auto val="1"/>
        <c:lblAlgn val="ctr"/>
        <c:lblOffset val="100"/>
        <c:noMultiLvlLbl val="0"/>
      </c:catAx>
      <c:valAx>
        <c:axId val="6262730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72032"/>
        <c:crosses val="autoZero"/>
        <c:crossBetween val="between"/>
      </c:valAx>
      <c:valAx>
        <c:axId val="55545228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5455240"/>
        <c:crosses val="max"/>
        <c:crossBetween val="between"/>
      </c:valAx>
      <c:catAx>
        <c:axId val="555455240"/>
        <c:scaling>
          <c:orientation val="minMax"/>
        </c:scaling>
        <c:delete val="1"/>
        <c:axPos val="b"/>
        <c:majorTickMark val="out"/>
        <c:minorTickMark val="none"/>
        <c:tickLblPos val="nextTo"/>
        <c:crossAx val="55545228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 CF To Balance Sheet'!$C$4:$G$4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 CF To Balance Sheet'!$C$5:$G$5</c:f>
              <c:numCache>
                <c:formatCode>.00</c:formatCode>
                <c:ptCount val="5"/>
                <c:pt idx="0">
                  <c:v>2375.5600000000013</c:v>
                </c:pt>
                <c:pt idx="1">
                  <c:v>5127.7800000000025</c:v>
                </c:pt>
                <c:pt idx="2">
                  <c:v>7897.6999999999989</c:v>
                </c:pt>
                <c:pt idx="3">
                  <c:v>10224.819999999998</c:v>
                </c:pt>
                <c:pt idx="4">
                  <c:v>10938.36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6B-401D-BC41-CA3C654C8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5453272"/>
        <c:axId val="555457536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'Net Profit CF To Balance Sheet'!$C$6:$G$6</c:f>
              <c:numCache>
                <c:formatCode>.00</c:formatCode>
                <c:ptCount val="5"/>
                <c:pt idx="0">
                  <c:v>2613.8200000000015</c:v>
                </c:pt>
                <c:pt idx="1">
                  <c:v>5406.4900000000025</c:v>
                </c:pt>
                <c:pt idx="2">
                  <c:v>9042.5299999999988</c:v>
                </c:pt>
                <c:pt idx="3">
                  <c:v>10224.819999999998</c:v>
                </c:pt>
                <c:pt idx="4">
                  <c:v>10938.36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66B-401D-BC41-CA3C654C8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455568"/>
        <c:axId val="555452616"/>
      </c:lineChart>
      <c:catAx>
        <c:axId val="555453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57536"/>
        <c:crosses val="autoZero"/>
        <c:auto val="1"/>
        <c:lblAlgn val="ctr"/>
        <c:lblOffset val="100"/>
        <c:noMultiLvlLbl val="0"/>
      </c:catAx>
      <c:valAx>
        <c:axId val="5554575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53272"/>
        <c:crosses val="autoZero"/>
        <c:crossBetween val="between"/>
      </c:valAx>
      <c:valAx>
        <c:axId val="55545261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5455568"/>
        <c:crosses val="max"/>
        <c:crossBetween val="between"/>
      </c:valAx>
      <c:catAx>
        <c:axId val="555455568"/>
        <c:scaling>
          <c:orientation val="minMax"/>
        </c:scaling>
        <c:delete val="1"/>
        <c:axPos val="b"/>
        <c:majorTickMark val="out"/>
        <c:minorTickMark val="none"/>
        <c:tickLblPos val="nextTo"/>
        <c:crossAx val="555452616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8AC-49F8-A145-13D55481D893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8AC-49F8-A145-13D55481D8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Pay Out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Pay Out Ratio'!$C$12:$G$12</c:f>
              <c:numCache>
                <c:formatCode>General</c:formatCode>
                <c:ptCount val="5"/>
                <c:pt idx="0">
                  <c:v>0.08</c:v>
                </c:pt>
                <c:pt idx="1">
                  <c:v>0.04</c:v>
                </c:pt>
                <c:pt idx="2">
                  <c:v>0.11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8AC-49F8-A145-13D55481D8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585120"/>
        <c:axId val="627514800"/>
      </c:lineChart>
      <c:catAx>
        <c:axId val="448585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14800"/>
        <c:crosses val="autoZero"/>
        <c:auto val="0"/>
        <c:lblAlgn val="ctr"/>
        <c:lblOffset val="100"/>
        <c:noMultiLvlLbl val="0"/>
      </c:catAx>
      <c:valAx>
        <c:axId val="627514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5851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CFE-40D7-A667-2DEB1D14DFB2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CFE-40D7-A667-2DEB1D14DFB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FCFE-40D7-A667-2DEB1D14DF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Retention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Retention Ratio'!$C$9:$G$9</c:f>
              <c:numCache>
                <c:formatCode>0.00%</c:formatCode>
                <c:ptCount val="5"/>
                <c:pt idx="0">
                  <c:v>-2.64</c:v>
                </c:pt>
                <c:pt idx="1">
                  <c:v>-1.9500000000000002</c:v>
                </c:pt>
                <c:pt idx="2">
                  <c:v>-8.4499999999999993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CFE-40D7-A667-2DEB1D14DF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13952"/>
        <c:axId val="553514280"/>
      </c:lineChart>
      <c:catAx>
        <c:axId val="55351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14280"/>
        <c:crosses val="autoZero"/>
        <c:auto val="0"/>
        <c:lblAlgn val="ctr"/>
        <c:lblOffset val="100"/>
        <c:noMultiLvlLbl val="0"/>
      </c:catAx>
      <c:valAx>
        <c:axId val="5535142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35139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95B-4D7F-B300-EADC2E82953C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95B-4D7F-B300-EADC2E82953C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95B-4D7F-B300-EADC2E82953C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095B-4D7F-B300-EADC2E8295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Profit'!$C$8:$G$8</c:f>
              <c:numCache>
                <c:formatCode>.00</c:formatCode>
                <c:ptCount val="5"/>
                <c:pt idx="0">
                  <c:v>12336.56</c:v>
                </c:pt>
                <c:pt idx="1">
                  <c:v>18397.29</c:v>
                </c:pt>
                <c:pt idx="2">
                  <c:v>26223.07</c:v>
                </c:pt>
                <c:pt idx="3">
                  <c:v>26504.52</c:v>
                </c:pt>
                <c:pt idx="4">
                  <c:v>30739.15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95B-4D7F-B300-EADC2E8295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1536192"/>
        <c:axId val="551537832"/>
      </c:lineChart>
      <c:catAx>
        <c:axId val="55153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537832"/>
        <c:crosses val="autoZero"/>
        <c:auto val="0"/>
        <c:lblAlgn val="ctr"/>
        <c:lblOffset val="100"/>
        <c:noMultiLvlLbl val="0"/>
      </c:catAx>
      <c:valAx>
        <c:axId val="5515378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15361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8B0-4970-BC7A-FC16859421CC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8B0-4970-BC7A-FC16859421CC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8B0-4970-BC7A-FC16859421CC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8B0-4970-BC7A-FC16859421C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Profit'!$C$8:$G$8</c:f>
              <c:numCache>
                <c:formatCode>.00</c:formatCode>
                <c:ptCount val="5"/>
                <c:pt idx="0">
                  <c:v>8748.44</c:v>
                </c:pt>
                <c:pt idx="1">
                  <c:v>14345.33</c:v>
                </c:pt>
                <c:pt idx="2">
                  <c:v>20856.87</c:v>
                </c:pt>
                <c:pt idx="3">
                  <c:v>21521.58</c:v>
                </c:pt>
                <c:pt idx="4">
                  <c:v>23538.73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8B0-4970-BC7A-FC1685942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1537176"/>
        <c:axId val="551534880"/>
      </c:lineChart>
      <c:catAx>
        <c:axId val="551537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534880"/>
        <c:crosses val="autoZero"/>
        <c:auto val="0"/>
        <c:lblAlgn val="ctr"/>
        <c:lblOffset val="100"/>
        <c:noMultiLvlLbl val="0"/>
      </c:catAx>
      <c:valAx>
        <c:axId val="5515348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15371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3F0-4693-8898-67E801E2728C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3F0-4693-8898-67E801E2728C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3F0-4693-8898-67E801E2728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Assets'!$C$3:$G$3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Assets'!$C$8:$G$8</c:f>
              <c:numCache>
                <c:formatCode>0.00%</c:formatCode>
                <c:ptCount val="5"/>
                <c:pt idx="0">
                  <c:v>0.03</c:v>
                </c:pt>
                <c:pt idx="1">
                  <c:v>0.04</c:v>
                </c:pt>
                <c:pt idx="2">
                  <c:v>0.06</c:v>
                </c:pt>
                <c:pt idx="3">
                  <c:v>0.06</c:v>
                </c:pt>
                <c:pt idx="4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F0-4693-8898-67E801E272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31952"/>
        <c:axId val="553629984"/>
      </c:lineChart>
      <c:catAx>
        <c:axId val="553631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29984"/>
        <c:crosses val="autoZero"/>
        <c:auto val="0"/>
        <c:lblAlgn val="ctr"/>
        <c:lblOffset val="100"/>
        <c:noMultiLvlLbl val="0"/>
      </c:catAx>
      <c:valAx>
        <c:axId val="553629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36319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7E8-4491-B2DF-7546D756C4EF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7E8-4491-B2DF-7546D756C4E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C7E8-4491-B2DF-7546D756C4E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Capital Employeed'!$C$3:$G$3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Capital Employeed'!$C$9:$G$9</c:f>
              <c:numCache>
                <c:formatCode>0.00%</c:formatCode>
                <c:ptCount val="5"/>
                <c:pt idx="0">
                  <c:v>0.08</c:v>
                </c:pt>
                <c:pt idx="1">
                  <c:v>7.0000000000000007E-2</c:v>
                </c:pt>
                <c:pt idx="2">
                  <c:v>0.08</c:v>
                </c:pt>
                <c:pt idx="3">
                  <c:v>0.08</c:v>
                </c:pt>
                <c:pt idx="4">
                  <c:v>0.14000000000000001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7E8-4491-B2DF-7546D756C4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6656"/>
        <c:axId val="449430264"/>
      </c:lineChart>
      <c:catAx>
        <c:axId val="449426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0264"/>
        <c:crosses val="autoZero"/>
        <c:auto val="0"/>
        <c:lblAlgn val="ctr"/>
        <c:lblOffset val="100"/>
        <c:noMultiLvlLbl val="0"/>
      </c:catAx>
      <c:valAx>
        <c:axId val="4494302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266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101593-A098-0C8C-3A3A-4FD5FF00C5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AE427F-201E-DC47-039C-DB93845BAB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FD9317-E724-2127-BF37-0FA3923F00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FABCED1-ECCF-A112-6CDF-067965674D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C697AF-B5A8-8A6F-CBFE-C498C14292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111C8F-90EF-D1E4-21EF-2918A434AE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A3D3C5A-F57B-6B81-50AF-7B48B2A891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4F6A5B7-16FD-7C0B-987D-EAFDE1E742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54CB47-271E-4A1D-0E72-9691986F39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AB302C-A60E-7D0E-D6B7-783FB99AD4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DD7866D-3A2D-CC5B-7C7F-E1AE07E395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E30199-D3F0-C3E6-9CBC-17CC536960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522BFC-17B2-607C-34F7-27C3CE248E4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A019A40-3E50-2282-80EC-A533B7E8D0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9B9E42-581A-8D92-79E6-14F83823FE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4C7BDFE-B293-0E33-CE06-082B331591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5EB372-5208-469A-7E2F-8DF5739851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151EEC2-07C5-98D2-10FD-F51EE2DD21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8540AF-B04B-E751-8663-5D2D9466CC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309A74-69AF-7992-736A-6095413CE8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A463FD0B-A495-BDEF-5BED-57722EDFCB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B2088C4E-B23F-52DC-7022-393D16829A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A40CC1-DA2E-4DA7-4C29-A1C9F3DA04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0F28F4E7-BE90-6D2A-8DAF-4F732C2E8B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AF360765-3201-7695-B1CC-321232F57A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60BF803E-56C7-73EE-EFC6-45A9F32751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18E8BCC3-C7DC-DF36-BD1D-297FE9219B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F1F2563A-4518-6649-56F1-125413D694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26565B28-6E2E-E6BE-ABC9-C94D63BA16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3FD010C6-97F9-F2E8-74F7-DDB11EB542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496481A8-B659-0C02-7CED-47F3F10C18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EF141BBD-86C2-16BF-F985-0FB8A5CEEA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D861C156-9890-CAEB-F9B7-A01C1343A1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30CCAB-7BD0-B6FF-3099-17FD905B07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4A8D85-54EA-0819-6E86-A9D2D8274F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8E746EA-E450-B1AE-F23D-E5122246D87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BF011B-A380-40B1-3C75-674A6B42276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1F30A1-0F15-DF40-DF4A-5DAE1DC644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9BDA2B-4B8C-3FD7-0B6E-8F4889C1A5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85D52-5598-4D83-863E-41F9B59DA3B4}">
  <dimension ref="A2:H55"/>
  <sheetViews>
    <sheetView topLeftCell="A45" workbookViewId="0">
      <selection activeCell="A55" sqref="A55"/>
    </sheetView>
  </sheetViews>
  <sheetFormatPr defaultRowHeight="15" x14ac:dyDescent="0.25"/>
  <sheetData>
    <row r="2" spans="1:8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3</v>
      </c>
      <c r="H4" t="s">
        <v>1</v>
      </c>
    </row>
    <row r="5" spans="1:8" x14ac:dyDescent="0.25">
      <c r="B5" t="s">
        <v>4</v>
      </c>
      <c r="H5" t="s">
        <v>1</v>
      </c>
    </row>
    <row r="6" spans="1:8" x14ac:dyDescent="0.25">
      <c r="A6" t="s">
        <v>5</v>
      </c>
      <c r="B6" t="s">
        <v>5</v>
      </c>
      <c r="C6">
        <v>115.03</v>
      </c>
      <c r="D6">
        <v>115.37</v>
      </c>
      <c r="E6">
        <v>119.99</v>
      </c>
      <c r="F6">
        <v>120.32</v>
      </c>
      <c r="G6">
        <v>120.66</v>
      </c>
      <c r="H6" t="s">
        <v>1</v>
      </c>
    </row>
    <row r="7" spans="1:8" x14ac:dyDescent="0.25">
      <c r="B7" t="s">
        <v>6</v>
      </c>
      <c r="C7">
        <v>115.03</v>
      </c>
      <c r="D7">
        <v>115.37</v>
      </c>
      <c r="E7">
        <v>119.99</v>
      </c>
      <c r="F7">
        <v>120.32</v>
      </c>
      <c r="G7">
        <v>120.66</v>
      </c>
      <c r="H7" t="s">
        <v>1</v>
      </c>
    </row>
    <row r="8" spans="1:8" x14ac:dyDescent="0.25">
      <c r="A8" t="s">
        <v>90</v>
      </c>
      <c r="B8" t="s">
        <v>7</v>
      </c>
      <c r="C8" s="2">
        <v>16430.62</v>
      </c>
      <c r="D8" s="2">
        <v>19443.8</v>
      </c>
      <c r="E8" s="2">
        <v>31994.47</v>
      </c>
      <c r="F8" s="2">
        <v>36494.839999999997</v>
      </c>
      <c r="G8" s="2">
        <v>43592.03</v>
      </c>
      <c r="H8" t="s">
        <v>1</v>
      </c>
    </row>
    <row r="9" spans="1:8" x14ac:dyDescent="0.25">
      <c r="B9" t="s">
        <v>8</v>
      </c>
      <c r="C9" s="2">
        <v>16430.62</v>
      </c>
      <c r="D9" s="2">
        <v>19443.8</v>
      </c>
      <c r="E9" s="2">
        <v>31994.47</v>
      </c>
      <c r="F9" s="2">
        <v>36494.839999999997</v>
      </c>
      <c r="G9" s="2">
        <v>43592.03</v>
      </c>
      <c r="H9" t="s">
        <v>1</v>
      </c>
    </row>
    <row r="10" spans="1:8" x14ac:dyDescent="0.25">
      <c r="B10" t="s">
        <v>9</v>
      </c>
      <c r="C10" s="2">
        <v>16545.650000000001</v>
      </c>
      <c r="D10" s="2">
        <v>19697.02</v>
      </c>
      <c r="E10" s="2">
        <v>32327.63</v>
      </c>
      <c r="F10" s="2">
        <v>36918.410000000003</v>
      </c>
      <c r="G10" s="2">
        <v>43712.69</v>
      </c>
      <c r="H10" t="s">
        <v>1</v>
      </c>
    </row>
    <row r="11" spans="1:8" x14ac:dyDescent="0.25">
      <c r="A11" t="s">
        <v>10</v>
      </c>
      <c r="B11" t="s">
        <v>10</v>
      </c>
      <c r="C11">
        <v>0</v>
      </c>
      <c r="D11">
        <v>0</v>
      </c>
      <c r="E11">
        <v>0</v>
      </c>
      <c r="F11">
        <v>0</v>
      </c>
      <c r="G11">
        <v>0</v>
      </c>
      <c r="H11" t="s">
        <v>1</v>
      </c>
    </row>
    <row r="12" spans="1:8" x14ac:dyDescent="0.25">
      <c r="B12" t="s">
        <v>11</v>
      </c>
      <c r="H12" t="s">
        <v>1</v>
      </c>
    </row>
    <row r="13" spans="1:8" x14ac:dyDescent="0.25">
      <c r="A13" t="s">
        <v>91</v>
      </c>
      <c r="B13" t="s">
        <v>12</v>
      </c>
      <c r="C13">
        <v>45896.31</v>
      </c>
      <c r="D13" s="2">
        <v>64013.41</v>
      </c>
      <c r="E13" s="2">
        <v>75106.259999999995</v>
      </c>
      <c r="F13" s="2">
        <v>84204.18</v>
      </c>
      <c r="G13" s="2">
        <v>0</v>
      </c>
      <c r="H13" t="s">
        <v>1</v>
      </c>
    </row>
    <row r="14" spans="1:8" x14ac:dyDescent="0.25">
      <c r="A14" t="s">
        <v>91</v>
      </c>
      <c r="B14" t="s">
        <v>13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8" x14ac:dyDescent="0.25">
      <c r="A15" t="s">
        <v>92</v>
      </c>
      <c r="B15" t="s">
        <v>14</v>
      </c>
      <c r="C15">
        <v>500.21</v>
      </c>
      <c r="D15">
        <v>358.06</v>
      </c>
      <c r="E15">
        <v>471.26</v>
      </c>
      <c r="F15">
        <v>687.06</v>
      </c>
      <c r="G15">
        <v>632.29999999999995</v>
      </c>
      <c r="H15" t="s">
        <v>1</v>
      </c>
    </row>
    <row r="16" spans="1:8" x14ac:dyDescent="0.25">
      <c r="A16" t="s">
        <v>93</v>
      </c>
      <c r="B16" t="s">
        <v>15</v>
      </c>
      <c r="C16">
        <v>1136.3399999999999</v>
      </c>
      <c r="D16">
        <v>73.89</v>
      </c>
      <c r="E16">
        <v>81</v>
      </c>
      <c r="F16">
        <v>137.69</v>
      </c>
      <c r="G16" s="2">
        <v>166.9</v>
      </c>
      <c r="H16" t="s">
        <v>1</v>
      </c>
    </row>
    <row r="17" spans="1:8" x14ac:dyDescent="0.25">
      <c r="B17" t="s">
        <v>16</v>
      </c>
      <c r="C17">
        <v>47532.86</v>
      </c>
      <c r="D17" s="2">
        <v>64445.36</v>
      </c>
      <c r="E17" s="2">
        <v>75658.52</v>
      </c>
      <c r="F17" s="2">
        <v>85028.93</v>
      </c>
      <c r="G17" s="2">
        <v>799.2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10757.11</v>
      </c>
      <c r="D19" s="2">
        <v>37574.44</v>
      </c>
      <c r="E19" s="2">
        <v>54700.17</v>
      </c>
      <c r="F19" s="2">
        <v>47441.2</v>
      </c>
      <c r="G19" s="2">
        <v>85163.08</v>
      </c>
      <c r="H19" t="s">
        <v>1</v>
      </c>
    </row>
    <row r="20" spans="1:8" x14ac:dyDescent="0.25">
      <c r="A20" t="s">
        <v>92</v>
      </c>
      <c r="B20" t="s">
        <v>19</v>
      </c>
      <c r="C20" s="2">
        <v>460.79</v>
      </c>
      <c r="D20" s="2">
        <v>811.54</v>
      </c>
      <c r="E20">
        <v>959.81</v>
      </c>
      <c r="F20">
        <v>1108.68</v>
      </c>
      <c r="G20">
        <v>81579.94</v>
      </c>
      <c r="H20" t="s">
        <v>1</v>
      </c>
    </row>
    <row r="21" spans="1:8" x14ac:dyDescent="0.25">
      <c r="A21" t="s">
        <v>92</v>
      </c>
      <c r="B21" t="s">
        <v>20</v>
      </c>
      <c r="C21" s="2">
        <v>11336.93</v>
      </c>
      <c r="D21" s="2">
        <v>1704.15</v>
      </c>
      <c r="E21">
        <v>745</v>
      </c>
      <c r="F21" s="2">
        <v>1029.6500000000001</v>
      </c>
      <c r="G21" s="2">
        <v>1250.45</v>
      </c>
      <c r="H21" t="s">
        <v>1</v>
      </c>
    </row>
    <row r="22" spans="1:8" x14ac:dyDescent="0.25">
      <c r="A22" t="s">
        <v>93</v>
      </c>
      <c r="B22" t="s">
        <v>21</v>
      </c>
      <c r="C22">
        <v>191</v>
      </c>
      <c r="D22">
        <v>0</v>
      </c>
      <c r="E22">
        <v>0</v>
      </c>
      <c r="F22">
        <v>0</v>
      </c>
      <c r="G22">
        <v>0</v>
      </c>
      <c r="H22" t="s">
        <v>1</v>
      </c>
    </row>
    <row r="23" spans="1:8" x14ac:dyDescent="0.25">
      <c r="B23" t="s">
        <v>22</v>
      </c>
      <c r="C23" s="2">
        <v>22745.83</v>
      </c>
      <c r="D23" s="2">
        <v>40090.129999999997</v>
      </c>
      <c r="E23" s="2">
        <v>56404.98</v>
      </c>
      <c r="F23" s="2">
        <v>49579.53</v>
      </c>
      <c r="G23" s="2">
        <v>167993.47</v>
      </c>
      <c r="H23" t="s">
        <v>1</v>
      </c>
    </row>
    <row r="24" spans="1:8" x14ac:dyDescent="0.25">
      <c r="B24" t="s">
        <v>23</v>
      </c>
      <c r="C24" s="2">
        <v>86824.34</v>
      </c>
      <c r="D24" s="2">
        <v>124232.51</v>
      </c>
      <c r="E24" s="2">
        <v>164391.13</v>
      </c>
      <c r="F24" s="2">
        <v>171526.87</v>
      </c>
      <c r="G24" s="2">
        <v>212505.36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346.15</v>
      </c>
      <c r="D27" s="2">
        <v>526.51</v>
      </c>
      <c r="E27" s="2">
        <v>1097.26</v>
      </c>
      <c r="F27">
        <v>1041.69</v>
      </c>
      <c r="G27">
        <v>1747.17</v>
      </c>
      <c r="H27" t="s">
        <v>1</v>
      </c>
    </row>
    <row r="28" spans="1:8" x14ac:dyDescent="0.25">
      <c r="A28" t="s">
        <v>29</v>
      </c>
      <c r="B28" t="s">
        <v>27</v>
      </c>
      <c r="C28">
        <v>120.84</v>
      </c>
      <c r="D28">
        <v>165.06</v>
      </c>
      <c r="E28">
        <v>220.46</v>
      </c>
      <c r="F28">
        <v>270.74</v>
      </c>
      <c r="G28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0</v>
      </c>
      <c r="D29">
        <v>0</v>
      </c>
      <c r="E29">
        <v>0</v>
      </c>
      <c r="F29">
        <v>7.07</v>
      </c>
      <c r="G29">
        <v>0</v>
      </c>
      <c r="H29" t="s">
        <v>1</v>
      </c>
    </row>
    <row r="30" spans="1:8" x14ac:dyDescent="0.25">
      <c r="B30" t="s">
        <v>29</v>
      </c>
      <c r="C30" s="2">
        <v>466.99</v>
      </c>
      <c r="D30" s="2">
        <v>691.57</v>
      </c>
      <c r="E30" s="2">
        <v>1317.72</v>
      </c>
      <c r="F30">
        <v>1363.49</v>
      </c>
      <c r="G30">
        <v>1747.17</v>
      </c>
      <c r="H30" t="s">
        <v>1</v>
      </c>
    </row>
    <row r="31" spans="1:8" x14ac:dyDescent="0.25">
      <c r="A31" t="s">
        <v>94</v>
      </c>
      <c r="B31" t="s">
        <v>30</v>
      </c>
      <c r="C31">
        <v>837.58</v>
      </c>
      <c r="D31">
        <v>0</v>
      </c>
      <c r="E31">
        <v>0</v>
      </c>
      <c r="F31">
        <v>0</v>
      </c>
      <c r="G31">
        <v>0</v>
      </c>
      <c r="H31" t="s">
        <v>1</v>
      </c>
    </row>
    <row r="32" spans="1:8" x14ac:dyDescent="0.25">
      <c r="A32" t="s">
        <v>95</v>
      </c>
      <c r="B32" t="s">
        <v>31</v>
      </c>
      <c r="C32">
        <v>386.41</v>
      </c>
      <c r="D32">
        <v>669.03</v>
      </c>
      <c r="E32">
        <v>850.13</v>
      </c>
      <c r="F32">
        <v>945.9</v>
      </c>
      <c r="G32">
        <v>951.11</v>
      </c>
      <c r="H32" t="s">
        <v>1</v>
      </c>
    </row>
    <row r="33" spans="1:8" x14ac:dyDescent="0.25">
      <c r="A33" t="s">
        <v>95</v>
      </c>
      <c r="B33" t="s">
        <v>32</v>
      </c>
      <c r="C33">
        <v>81.55</v>
      </c>
      <c r="D33">
        <v>0</v>
      </c>
      <c r="E33">
        <v>0</v>
      </c>
      <c r="F33">
        <v>0</v>
      </c>
      <c r="G33">
        <v>0</v>
      </c>
      <c r="H33" t="s">
        <v>1</v>
      </c>
    </row>
    <row r="34" spans="1:8" x14ac:dyDescent="0.25">
      <c r="A34" t="s">
        <v>95</v>
      </c>
      <c r="B34" t="s">
        <v>33</v>
      </c>
      <c r="C34">
        <v>47267.92</v>
      </c>
      <c r="D34">
        <v>209.43</v>
      </c>
      <c r="E34">
        <v>322.94</v>
      </c>
      <c r="F34">
        <v>309.83</v>
      </c>
      <c r="G34" s="2">
        <v>345.44</v>
      </c>
      <c r="H34" t="s">
        <v>1</v>
      </c>
    </row>
    <row r="35" spans="1:8" x14ac:dyDescent="0.25">
      <c r="B35" t="s">
        <v>34</v>
      </c>
      <c r="C35" s="2">
        <v>49043.72</v>
      </c>
      <c r="D35" s="2">
        <v>1573.3</v>
      </c>
      <c r="E35" s="2">
        <v>2494.06</v>
      </c>
      <c r="F35" s="2">
        <v>2622.49</v>
      </c>
      <c r="G35" s="2">
        <v>3046.99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2308.39</v>
      </c>
      <c r="D37" s="2">
        <v>8599.0300000000007</v>
      </c>
      <c r="E37" s="2">
        <v>17543.900000000001</v>
      </c>
      <c r="F37" s="2">
        <v>18396.91</v>
      </c>
      <c r="G37" s="2">
        <v>12245.54</v>
      </c>
      <c r="H37" t="s">
        <v>1</v>
      </c>
    </row>
    <row r="38" spans="1:8" x14ac:dyDescent="0.25">
      <c r="A38" t="s">
        <v>96</v>
      </c>
      <c r="B38" t="s">
        <v>37</v>
      </c>
      <c r="C38">
        <v>0</v>
      </c>
      <c r="D38">
        <v>0</v>
      </c>
      <c r="E38">
        <v>0</v>
      </c>
      <c r="F38">
        <v>0</v>
      </c>
      <c r="G38">
        <v>0</v>
      </c>
      <c r="H38" t="s">
        <v>1</v>
      </c>
    </row>
    <row r="39" spans="1:8" x14ac:dyDescent="0.25">
      <c r="A39" t="s">
        <v>96</v>
      </c>
      <c r="B39" t="s">
        <v>38</v>
      </c>
      <c r="C39" s="2">
        <v>34332.18</v>
      </c>
      <c r="D39" s="2">
        <v>808.7</v>
      </c>
      <c r="E39">
        <v>952.56</v>
      </c>
      <c r="F39">
        <v>1107.24</v>
      </c>
      <c r="G39" s="2">
        <v>1265.8900000000001</v>
      </c>
      <c r="H39" t="s">
        <v>1</v>
      </c>
    </row>
    <row r="40" spans="1:8" x14ac:dyDescent="0.25">
      <c r="A40" t="s">
        <v>96</v>
      </c>
      <c r="B40" t="s">
        <v>39</v>
      </c>
      <c r="C40" s="2">
        <v>339.46</v>
      </c>
      <c r="D40" s="2">
        <v>348.71</v>
      </c>
      <c r="E40" s="2">
        <v>1382.72</v>
      </c>
      <c r="F40">
        <v>2176.1799999999998</v>
      </c>
      <c r="G40">
        <v>3680.3</v>
      </c>
      <c r="H40" t="s">
        <v>1</v>
      </c>
    </row>
    <row r="41" spans="1:8" x14ac:dyDescent="0.25">
      <c r="A41" t="s">
        <v>95</v>
      </c>
      <c r="B41" t="s">
        <v>40</v>
      </c>
      <c r="C41" s="2">
        <v>261.66000000000003</v>
      </c>
      <c r="D41" s="2">
        <v>112512.82</v>
      </c>
      <c r="E41" s="2">
        <v>141376.04999999999</v>
      </c>
      <c r="F41" s="2">
        <v>146686.87</v>
      </c>
      <c r="G41">
        <v>191423.25</v>
      </c>
      <c r="H41" t="s">
        <v>1</v>
      </c>
    </row>
    <row r="42" spans="1:8" x14ac:dyDescent="0.25">
      <c r="A42" t="s">
        <v>95</v>
      </c>
      <c r="B42" t="s">
        <v>41</v>
      </c>
      <c r="C42">
        <v>538.92999999999995</v>
      </c>
      <c r="D42">
        <v>389.95</v>
      </c>
      <c r="E42">
        <v>641.84</v>
      </c>
      <c r="F42">
        <v>537.17999999999995</v>
      </c>
      <c r="G42">
        <v>843.39</v>
      </c>
      <c r="H42" t="s">
        <v>1</v>
      </c>
    </row>
    <row r="43" spans="1:8" x14ac:dyDescent="0.25">
      <c r="B43" t="s">
        <v>42</v>
      </c>
      <c r="C43" s="2">
        <v>37780.620000000003</v>
      </c>
      <c r="D43" s="2">
        <v>122659.21</v>
      </c>
      <c r="E43" s="2">
        <v>161897.07</v>
      </c>
      <c r="F43" s="2">
        <v>168904.38</v>
      </c>
      <c r="G43" s="2">
        <v>209458.37</v>
      </c>
      <c r="H43" t="s">
        <v>1</v>
      </c>
    </row>
    <row r="44" spans="1:8" x14ac:dyDescent="0.25">
      <c r="B44" t="s">
        <v>43</v>
      </c>
      <c r="C44" s="2">
        <v>86824.34</v>
      </c>
      <c r="D44" s="2">
        <v>124232.51</v>
      </c>
      <c r="E44" s="2">
        <v>164391.13</v>
      </c>
      <c r="F44" s="2">
        <v>171526.87</v>
      </c>
      <c r="G44" s="2">
        <v>212505.36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1447.32</v>
      </c>
      <c r="D47" s="2">
        <v>2143.89</v>
      </c>
      <c r="E47" s="2">
        <v>5403.65</v>
      </c>
      <c r="F47" s="2">
        <v>5238.82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53.87</v>
      </c>
      <c r="D49">
        <v>53.87</v>
      </c>
      <c r="E49">
        <v>53.87</v>
      </c>
      <c r="F49">
        <v>53.87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2272.5700000000002</v>
      </c>
      <c r="D51">
        <v>0</v>
      </c>
      <c r="E51">
        <v>0</v>
      </c>
      <c r="F51">
        <v>0</v>
      </c>
      <c r="G51" s="2">
        <v>0</v>
      </c>
      <c r="H51" t="s">
        <v>1</v>
      </c>
    </row>
    <row r="52" spans="2:8" x14ac:dyDescent="0.25">
      <c r="B52" t="s">
        <v>51</v>
      </c>
      <c r="C52">
        <v>247.38</v>
      </c>
      <c r="D52">
        <v>0</v>
      </c>
      <c r="E52">
        <v>0</v>
      </c>
      <c r="F52">
        <v>0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612.54</v>
      </c>
      <c r="D55" s="2">
        <v>8599.0300000000007</v>
      </c>
      <c r="E55" s="2">
        <v>17543.900000000001</v>
      </c>
      <c r="F55" s="2">
        <v>18396.91</v>
      </c>
      <c r="G55">
        <v>0</v>
      </c>
      <c r="H55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3C578-6EBF-4053-88D4-3BB93B476A17}">
  <dimension ref="B3:G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5" width="11.5703125" bestFit="1" customWidth="1"/>
    <col min="6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151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197.96</v>
      </c>
      <c r="D6" s="16">
        <f>'Income Statement'!D28</f>
        <v>231.19</v>
      </c>
      <c r="E6" s="16">
        <f>'Income Statement'!E28</f>
        <v>949.63</v>
      </c>
      <c r="F6" s="16">
        <f>'Income Statement'!F28</f>
        <v>0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54.454583333333368</v>
      </c>
      <c r="D7" s="16">
        <f>'Income Statement'!D35</f>
        <v>78.354927536231926</v>
      </c>
      <c r="E7" s="16">
        <f>'Income Statement'!E35</f>
        <v>100.47255555555554</v>
      </c>
      <c r="F7" s="16">
        <f>'Income Statement'!F35</f>
        <v>138.17324324324321</v>
      </c>
      <c r="G7" s="16">
        <f>'Income Statement'!G35</f>
        <v>93.490256410256421</v>
      </c>
    </row>
    <row r="8" spans="2:7" ht="18.75" x14ac:dyDescent="0.25">
      <c r="B8" s="15" t="s">
        <v>148</v>
      </c>
      <c r="C8" s="16">
        <f>ROUND(C6/C7, 2)</f>
        <v>3.64</v>
      </c>
      <c r="D8" s="16">
        <f t="shared" ref="D8:G8" si="0">ROUND(D6/D7, 2)</f>
        <v>2.95</v>
      </c>
      <c r="E8" s="16">
        <f t="shared" si="0"/>
        <v>9.4499999999999993</v>
      </c>
      <c r="F8" s="16">
        <f t="shared" si="0"/>
        <v>0</v>
      </c>
      <c r="G8" s="16">
        <f t="shared" si="0"/>
        <v>0</v>
      </c>
    </row>
    <row r="9" spans="2:7" ht="18.75" x14ac:dyDescent="0.25">
      <c r="B9" s="15" t="str">
        <f>'Income Statement'!B27</f>
        <v>Reported Net Profit(PAT)</v>
      </c>
      <c r="C9" s="16">
        <f>'Income Statement'!C27</f>
        <v>2613.8200000000015</v>
      </c>
      <c r="D9" s="16">
        <f>'Income Statement'!D27</f>
        <v>5406.4900000000025</v>
      </c>
      <c r="E9" s="16">
        <f>'Income Statement'!E27</f>
        <v>9042.5299999999988</v>
      </c>
      <c r="F9" s="16">
        <f>'Income Statement'!F27</f>
        <v>10224.819999999998</v>
      </c>
      <c r="G9" s="16">
        <f>'Income Statement'!G27</f>
        <v>10938.36</v>
      </c>
    </row>
    <row r="10" spans="2:7" ht="18.75" x14ac:dyDescent="0.25">
      <c r="B10" s="15" t="str">
        <f>'Income Statement'!B35</f>
        <v>Total Shares Outstanding(cr)</v>
      </c>
      <c r="C10" s="16">
        <f>'Income Statement'!C35</f>
        <v>54.454583333333368</v>
      </c>
      <c r="D10" s="16">
        <f>'Income Statement'!D35</f>
        <v>78.354927536231926</v>
      </c>
      <c r="E10" s="16">
        <f>'Income Statement'!E35</f>
        <v>100.47255555555554</v>
      </c>
      <c r="F10" s="16">
        <f>'Income Statement'!F35</f>
        <v>138.17324324324321</v>
      </c>
      <c r="G10" s="16">
        <f>'Income Statement'!G35</f>
        <v>93.490256410256421</v>
      </c>
    </row>
    <row r="11" spans="2:7" ht="18.75" x14ac:dyDescent="0.25">
      <c r="B11" s="15" t="s">
        <v>146</v>
      </c>
      <c r="C11" s="16">
        <f>C9/C10</f>
        <v>48</v>
      </c>
      <c r="D11" s="16">
        <f t="shared" ref="D11:G11" si="1">D9/D10</f>
        <v>69</v>
      </c>
      <c r="E11" s="16">
        <f t="shared" si="1"/>
        <v>90</v>
      </c>
      <c r="F11" s="16">
        <f t="shared" si="1"/>
        <v>74</v>
      </c>
      <c r="G11" s="16">
        <f t="shared" si="1"/>
        <v>116.99999999999999</v>
      </c>
    </row>
    <row r="12" spans="2:7" ht="18.75" x14ac:dyDescent="0.25">
      <c r="B12" s="17" t="s">
        <v>152</v>
      </c>
      <c r="C12" s="17">
        <f>ROUND(C8/C11, 2)</f>
        <v>0.08</v>
      </c>
      <c r="D12" s="17">
        <f t="shared" ref="D12:G12" si="2">ROUND(D8/D11, 2)</f>
        <v>0.04</v>
      </c>
      <c r="E12" s="17">
        <f t="shared" si="2"/>
        <v>0.11</v>
      </c>
      <c r="F12" s="17">
        <f t="shared" si="2"/>
        <v>0</v>
      </c>
      <c r="G12" s="17">
        <f t="shared" si="2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EE7B8-38EE-4D3C-9560-2DAC879B5F83}">
  <dimension ref="B3:G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5" width="13.5703125" bestFit="1" customWidth="1"/>
    <col min="6" max="7" width="12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153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197.96</v>
      </c>
      <c r="D6" s="16">
        <f>'Income Statement'!D28</f>
        <v>231.19</v>
      </c>
      <c r="E6" s="16">
        <f>'Income Statement'!E28</f>
        <v>949.63</v>
      </c>
      <c r="F6" s="16">
        <f>'Income Statement'!F28</f>
        <v>0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54.454583333333368</v>
      </c>
      <c r="D7" s="16">
        <f>'Income Statement'!D35</f>
        <v>78.354927536231926</v>
      </c>
      <c r="E7" s="16">
        <f>'Income Statement'!E35</f>
        <v>100.47255555555554</v>
      </c>
      <c r="F7" s="16">
        <f>'Income Statement'!F35</f>
        <v>138.17324324324321</v>
      </c>
      <c r="G7" s="16">
        <f>'Income Statement'!G35</f>
        <v>93.490256410256421</v>
      </c>
    </row>
    <row r="8" spans="2:7" ht="18.75" x14ac:dyDescent="0.25">
      <c r="B8" s="15" t="s">
        <v>154</v>
      </c>
      <c r="C8" s="16">
        <f>ROUND(C6/C7, 2)</f>
        <v>3.64</v>
      </c>
      <c r="D8" s="16">
        <f t="shared" ref="D8:G8" si="0">ROUND(D6/D7, 2)</f>
        <v>2.95</v>
      </c>
      <c r="E8" s="16">
        <f t="shared" si="0"/>
        <v>9.4499999999999993</v>
      </c>
      <c r="F8" s="16">
        <f t="shared" si="0"/>
        <v>0</v>
      </c>
      <c r="G8" s="16">
        <f t="shared" si="0"/>
        <v>0</v>
      </c>
    </row>
    <row r="9" spans="2:7" ht="18.75" x14ac:dyDescent="0.25">
      <c r="B9" s="17" t="s">
        <v>155</v>
      </c>
      <c r="C9" s="27">
        <f>1-C8</f>
        <v>-2.64</v>
      </c>
      <c r="D9" s="27">
        <f t="shared" ref="D9:G9" si="1">1-D8</f>
        <v>-1.9500000000000002</v>
      </c>
      <c r="E9" s="27">
        <f t="shared" si="1"/>
        <v>-8.4499999999999993</v>
      </c>
      <c r="F9" s="27">
        <f t="shared" si="1"/>
        <v>1</v>
      </c>
      <c r="G9" s="27">
        <f t="shared" si="1"/>
        <v>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5B694-FCB2-4F0E-9A26-7B2D10F2CCE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156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12336.56</v>
      </c>
      <c r="D6" s="16">
        <f>'Income Statement'!D5</f>
        <v>18397.29</v>
      </c>
      <c r="E6" s="16">
        <f>'Income Statement'!E5</f>
        <v>26223.07</v>
      </c>
      <c r="F6" s="16">
        <f>'Income Statement'!F5</f>
        <v>26504.52</v>
      </c>
      <c r="G6" s="16">
        <f>'Income Statement'!G5</f>
        <v>30739.15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0</v>
      </c>
      <c r="D7" s="16">
        <f>'Income Statement'!D11</f>
        <v>0</v>
      </c>
      <c r="E7" s="16">
        <f>'Income Statement'!E11</f>
        <v>0</v>
      </c>
      <c r="F7" s="16">
        <f>'Income Statement'!F11</f>
        <v>0</v>
      </c>
      <c r="G7" s="16">
        <f>'Income Statement'!G11</f>
        <v>0</v>
      </c>
    </row>
    <row r="8" spans="2:7" ht="18.75" x14ac:dyDescent="0.25">
      <c r="B8" s="17" t="s">
        <v>157</v>
      </c>
      <c r="C8" s="28">
        <f>ROUND(C6- C7, 2)</f>
        <v>12336.56</v>
      </c>
      <c r="D8" s="28">
        <f t="shared" ref="D8:G8" si="0">ROUND(D6- D7, 2)</f>
        <v>18397.29</v>
      </c>
      <c r="E8" s="28">
        <f t="shared" si="0"/>
        <v>26223.07</v>
      </c>
      <c r="F8" s="28">
        <f t="shared" si="0"/>
        <v>26504.52</v>
      </c>
      <c r="G8" s="28">
        <f t="shared" si="0"/>
        <v>30739.15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F83E8C-6534-42E0-BE09-4A9499EA23CD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158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12336.56</v>
      </c>
      <c r="D6" s="16">
        <f>'Income Statement'!D5</f>
        <v>18397.29</v>
      </c>
      <c r="E6" s="16">
        <f>'Income Statement'!E5</f>
        <v>26223.07</v>
      </c>
      <c r="F6" s="16">
        <f>'Income Statement'!F5</f>
        <v>26504.52</v>
      </c>
      <c r="G6" s="16">
        <f>'Income Statement'!G5</f>
        <v>30739.15</v>
      </c>
    </row>
    <row r="7" spans="2:7" ht="18.75" x14ac:dyDescent="0.25">
      <c r="B7" s="15" t="str">
        <f>'Income Statement'!B15</f>
        <v>Total Expenditure</v>
      </c>
      <c r="C7" s="16">
        <f>'Income Statement'!C15</f>
        <v>3588.12</v>
      </c>
      <c r="D7" s="16">
        <f>'Income Statement'!D15</f>
        <v>4051.96</v>
      </c>
      <c r="E7" s="16">
        <f>'Income Statement'!E15</f>
        <v>5366.2</v>
      </c>
      <c r="F7" s="16">
        <f>'Income Statement'!F15</f>
        <v>4982.9400000000005</v>
      </c>
      <c r="G7" s="16">
        <f>'Income Statement'!G15</f>
        <v>7200.42</v>
      </c>
    </row>
    <row r="8" spans="2:7" ht="18.75" x14ac:dyDescent="0.25">
      <c r="B8" s="17" t="s">
        <v>159</v>
      </c>
      <c r="C8" s="28">
        <f>ROUND(C6- C7, 2)</f>
        <v>8748.44</v>
      </c>
      <c r="D8" s="28">
        <f t="shared" ref="D8:G8" si="0">ROUND(D6- D7, 2)</f>
        <v>14345.33</v>
      </c>
      <c r="E8" s="28">
        <f t="shared" si="0"/>
        <v>20856.87</v>
      </c>
      <c r="F8" s="28">
        <f t="shared" si="0"/>
        <v>21521.58</v>
      </c>
      <c r="G8" s="28">
        <f t="shared" si="0"/>
        <v>23538.73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2380D-8DB2-4E03-84BD-CCFFDD0CE89F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3" width="13.140625" bestFit="1" customWidth="1"/>
    <col min="4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160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2613.8200000000015</v>
      </c>
      <c r="D6" s="16">
        <f>'Income Statement'!D27</f>
        <v>5406.4900000000025</v>
      </c>
      <c r="E6" s="16">
        <f>'Income Statement'!E27</f>
        <v>9042.5299999999988</v>
      </c>
      <c r="F6" s="16">
        <f>'Income Statement'!F27</f>
        <v>10224.819999999998</v>
      </c>
      <c r="G6" s="16">
        <f>'Income Statement'!G27</f>
        <v>10938.36</v>
      </c>
    </row>
    <row r="7" spans="2:7" ht="18.75" x14ac:dyDescent="0.25">
      <c r="B7" s="15" t="str">
        <f>'Balance Sheet'!B40</f>
        <v>Total Assets</v>
      </c>
      <c r="C7" s="16">
        <f>'Balance Sheet'!C40</f>
        <v>86824.34</v>
      </c>
      <c r="D7" s="16">
        <f>'Balance Sheet'!D40</f>
        <v>126209.26000000002</v>
      </c>
      <c r="E7" s="16">
        <f>'Balance Sheet'!E40</f>
        <v>161639.59</v>
      </c>
      <c r="F7" s="16">
        <f>'Balance Sheet'!F40</f>
        <v>174409.7</v>
      </c>
      <c r="G7" s="16">
        <f>'Balance Sheet'!G40</f>
        <v>219532.61000000004</v>
      </c>
    </row>
    <row r="8" spans="2:7" ht="18.75" x14ac:dyDescent="0.25">
      <c r="B8" s="17" t="s">
        <v>161</v>
      </c>
      <c r="C8" s="27">
        <f>ROUND(C6/ C7, 2)</f>
        <v>0.03</v>
      </c>
      <c r="D8" s="27">
        <f t="shared" ref="D8:G8" si="0">ROUND(D6/ D7, 2)</f>
        <v>0.04</v>
      </c>
      <c r="E8" s="27">
        <f t="shared" si="0"/>
        <v>0.06</v>
      </c>
      <c r="F8" s="27">
        <f t="shared" si="0"/>
        <v>0.06</v>
      </c>
      <c r="G8" s="27">
        <f t="shared" si="0"/>
        <v>0.05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4D3F2-2793-4969-BE9E-817F446DBD9C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3" width="13.140625" bestFit="1" customWidth="1"/>
    <col min="4" max="6" width="14.85546875" bestFit="1" customWidth="1"/>
    <col min="7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8670.2400000000016</v>
      </c>
      <c r="D6" s="16">
        <f>'Income Statement'!D19</f>
        <v>14214.220000000003</v>
      </c>
      <c r="E6" s="16">
        <f>'Income Statement'!E19</f>
        <v>20574.109999999997</v>
      </c>
      <c r="F6" s="16">
        <f>'Income Statement'!F19</f>
        <v>21211.26</v>
      </c>
      <c r="G6" s="16">
        <f>'Income Statement'!G19</f>
        <v>23162.15</v>
      </c>
    </row>
    <row r="7" spans="2:7" ht="18.75" x14ac:dyDescent="0.25">
      <c r="B7" s="15" t="str">
        <f>'Balance Sheet'!B13</f>
        <v>Total Debt</v>
      </c>
      <c r="C7" s="16">
        <f>'Balance Sheet'!C13</f>
        <v>56653.42</v>
      </c>
      <c r="D7" s="16">
        <f>'Balance Sheet'!D13</f>
        <v>101587.85</v>
      </c>
      <c r="E7" s="16">
        <f>'Balance Sheet'!E13</f>
        <v>129806.43</v>
      </c>
      <c r="F7" s="16">
        <f>'Balance Sheet'!F13</f>
        <v>131645.38</v>
      </c>
      <c r="G7" s="16">
        <f>'Balance Sheet'!G13</f>
        <v>85163.08</v>
      </c>
    </row>
    <row r="8" spans="2:7" ht="18.75" x14ac:dyDescent="0.25">
      <c r="B8" s="15" t="str">
        <f>'Balance Sheet'!B9</f>
        <v>Net Worth</v>
      </c>
      <c r="C8" s="16">
        <f>'Balance Sheet'!C9</f>
        <v>16545.649999999998</v>
      </c>
      <c r="D8" s="16">
        <f>'Balance Sheet'!D9</f>
        <v>21673.77</v>
      </c>
      <c r="E8" s="16">
        <f>'Balance Sheet'!E9</f>
        <v>29576.09</v>
      </c>
      <c r="F8" s="16">
        <f>'Balance Sheet'!F9</f>
        <v>39801.24</v>
      </c>
      <c r="G8" s="16">
        <f>'Balance Sheet'!G9</f>
        <v>50739.94</v>
      </c>
    </row>
    <row r="9" spans="2:7" ht="18.75" x14ac:dyDescent="0.25">
      <c r="B9" s="17" t="s">
        <v>163</v>
      </c>
      <c r="C9" s="27">
        <f>ROUND(C6/ (C7+ C7), 2)</f>
        <v>0.08</v>
      </c>
      <c r="D9" s="27">
        <f t="shared" ref="D9:G9" si="0">ROUND(D6/ (D7+ D7), 2)</f>
        <v>7.0000000000000007E-2</v>
      </c>
      <c r="E9" s="27">
        <f t="shared" si="0"/>
        <v>0.08</v>
      </c>
      <c r="F9" s="27">
        <f t="shared" si="0"/>
        <v>0.08</v>
      </c>
      <c r="G9" s="27">
        <f t="shared" si="0"/>
        <v>0.14000000000000001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EC260-B253-4EDC-B933-80D86E30457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164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2613.8200000000015</v>
      </c>
      <c r="D6" s="16">
        <f>'Income Statement'!D27</f>
        <v>5406.4900000000025</v>
      </c>
      <c r="E6" s="16">
        <f>'Income Statement'!E27</f>
        <v>9042.5299999999988</v>
      </c>
      <c r="F6" s="16">
        <f>'Income Statement'!F27</f>
        <v>10224.819999999998</v>
      </c>
      <c r="G6" s="16">
        <f>'Income Statement'!G27</f>
        <v>10938.36</v>
      </c>
    </row>
    <row r="7" spans="2:7" ht="18.75" x14ac:dyDescent="0.25">
      <c r="B7" s="15" t="str">
        <f>'Balance Sheet'!B9</f>
        <v>Net Worth</v>
      </c>
      <c r="C7" s="16">
        <f>'Balance Sheet'!C9</f>
        <v>16545.649999999998</v>
      </c>
      <c r="D7" s="16">
        <f>'Balance Sheet'!D9</f>
        <v>21673.77</v>
      </c>
      <c r="E7" s="16">
        <f>'Balance Sheet'!E9</f>
        <v>29576.09</v>
      </c>
      <c r="F7" s="16">
        <f>'Balance Sheet'!F9</f>
        <v>39801.24</v>
      </c>
      <c r="G7" s="16">
        <f>'Balance Sheet'!G9</f>
        <v>50739.94</v>
      </c>
    </row>
    <row r="8" spans="2:7" ht="18.75" x14ac:dyDescent="0.25">
      <c r="B8" s="17" t="s">
        <v>165</v>
      </c>
      <c r="C8" s="27">
        <f>ROUND(C6/ (C7+ C7), 2)</f>
        <v>0.08</v>
      </c>
      <c r="D8" s="27">
        <f t="shared" ref="D8:G8" si="0">ROUND(D6/ (D7+ D7), 2)</f>
        <v>0.12</v>
      </c>
      <c r="E8" s="27">
        <f t="shared" si="0"/>
        <v>0.15</v>
      </c>
      <c r="F8" s="27">
        <f t="shared" si="0"/>
        <v>0.13</v>
      </c>
      <c r="G8" s="27">
        <f t="shared" si="0"/>
        <v>0.11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DFD606-19EE-4DC4-82A5-AA131215196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3" width="13.140625" bestFit="1" customWidth="1"/>
    <col min="4" max="6" width="14.85546875" bestFit="1" customWidth="1"/>
    <col min="7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166</v>
      </c>
      <c r="C5" s="14"/>
      <c r="D5" s="14"/>
      <c r="E5" s="14"/>
      <c r="F5" s="14"/>
      <c r="G5" s="14"/>
    </row>
    <row r="6" spans="2:7" ht="18.75" x14ac:dyDescent="0.25">
      <c r="B6" s="15" t="str">
        <f>'Balance Sheet'!B13</f>
        <v>Total Debt</v>
      </c>
      <c r="C6" s="16">
        <f>'Balance Sheet'!C13</f>
        <v>56653.42</v>
      </c>
      <c r="D6" s="16">
        <f>'Balance Sheet'!D13</f>
        <v>101587.85</v>
      </c>
      <c r="E6" s="16">
        <f>'Balance Sheet'!E13</f>
        <v>129806.43</v>
      </c>
      <c r="F6" s="16">
        <f>'Balance Sheet'!F13</f>
        <v>131645.38</v>
      </c>
      <c r="G6" s="16">
        <f>'Balance Sheet'!G13</f>
        <v>85163.08</v>
      </c>
    </row>
    <row r="7" spans="2:7" ht="18.75" x14ac:dyDescent="0.25">
      <c r="B7" s="15" t="str">
        <f>'Balance Sheet'!B9</f>
        <v>Net Worth</v>
      </c>
      <c r="C7" s="16">
        <f>'Balance Sheet'!C9</f>
        <v>16545.649999999998</v>
      </c>
      <c r="D7" s="16">
        <f>'Balance Sheet'!D9</f>
        <v>21673.77</v>
      </c>
      <c r="E7" s="16">
        <f>'Balance Sheet'!E9</f>
        <v>29576.09</v>
      </c>
      <c r="F7" s="16">
        <f>'Balance Sheet'!F9</f>
        <v>39801.24</v>
      </c>
      <c r="G7" s="16">
        <f>'Balance Sheet'!G9</f>
        <v>50739.94</v>
      </c>
    </row>
    <row r="8" spans="2:7" ht="18.75" x14ac:dyDescent="0.25">
      <c r="B8" s="17" t="s">
        <v>167</v>
      </c>
      <c r="C8" s="17">
        <f>ROUND(C6/ C7, 2)</f>
        <v>3.42</v>
      </c>
      <c r="D8" s="17">
        <f t="shared" ref="D8:G8" si="0">ROUND(D6/ D7, 2)</f>
        <v>4.6900000000000004</v>
      </c>
      <c r="E8" s="17">
        <f t="shared" si="0"/>
        <v>4.3899999999999997</v>
      </c>
      <c r="F8" s="17">
        <f t="shared" si="0"/>
        <v>3.31</v>
      </c>
      <c r="G8" s="17">
        <f t="shared" si="0"/>
        <v>1.68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9E2B6-5941-4F41-9E43-82FA6DC915DE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168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83208.11</v>
      </c>
      <c r="D6" s="16">
        <f>'Balance Sheet'!D39</f>
        <v>117062.81000000003</v>
      </c>
      <c r="E6" s="16">
        <f>'Balance Sheet'!E39</f>
        <v>143216.75</v>
      </c>
      <c r="F6" s="16">
        <f>'Balance Sheet'!F39</f>
        <v>155457.34</v>
      </c>
      <c r="G6" s="16">
        <f>'Balance Sheet'!G39</f>
        <v>206688.52000000005</v>
      </c>
    </row>
    <row r="7" spans="2:7" ht="18.75" x14ac:dyDescent="0.25">
      <c r="B7" s="15" t="str">
        <f>'Balance Sheet'!B19</f>
        <v>Total Current Liabilities</v>
      </c>
      <c r="C7" s="16">
        <f>'Balance Sheet'!C19</f>
        <v>13625.27</v>
      </c>
      <c r="D7" s="16">
        <f>'Balance Sheet'!D19</f>
        <v>2947.6400000000003</v>
      </c>
      <c r="E7" s="16">
        <f>'Balance Sheet'!E19</f>
        <v>2257.0699999999997</v>
      </c>
      <c r="F7" s="16">
        <f>'Balance Sheet'!F19</f>
        <v>2963.08</v>
      </c>
      <c r="G7" s="16">
        <f>'Balance Sheet'!G19</f>
        <v>83629.59</v>
      </c>
    </row>
    <row r="8" spans="2:7" ht="18.75" x14ac:dyDescent="0.25">
      <c r="B8" s="17" t="s">
        <v>169</v>
      </c>
      <c r="C8" s="17">
        <f>ROUND(C6/ C7, 2)</f>
        <v>6.11</v>
      </c>
      <c r="D8" s="17">
        <f t="shared" ref="D8:G8" si="0">ROUND(D6/ D7, 2)</f>
        <v>39.71</v>
      </c>
      <c r="E8" s="17">
        <f t="shared" si="0"/>
        <v>63.45</v>
      </c>
      <c r="F8" s="17">
        <f t="shared" si="0"/>
        <v>52.46</v>
      </c>
      <c r="G8" s="17">
        <f t="shared" si="0"/>
        <v>2.4700000000000002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BEAD9-7542-42EB-AD21-906705A9BA81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170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83208.11</v>
      </c>
      <c r="D6" s="16">
        <f>'Balance Sheet'!D39</f>
        <v>117062.81000000003</v>
      </c>
      <c r="E6" s="16">
        <f>'Balance Sheet'!E39</f>
        <v>143216.75</v>
      </c>
      <c r="F6" s="16">
        <f>'Balance Sheet'!F39</f>
        <v>155457.34</v>
      </c>
      <c r="G6" s="16">
        <f>'Balance Sheet'!G39</f>
        <v>206688.52000000005</v>
      </c>
    </row>
    <row r="7" spans="2:7" ht="18.75" x14ac:dyDescent="0.25">
      <c r="B7" s="15" t="str">
        <f>'Balance Sheet'!B36</f>
        <v>Inventories</v>
      </c>
      <c r="C7" s="16">
        <f>'Balance Sheet'!C36</f>
        <v>0</v>
      </c>
      <c r="D7" s="16">
        <f>'Balance Sheet'!D36</f>
        <v>0</v>
      </c>
      <c r="E7" s="16">
        <f>'Balance Sheet'!E36</f>
        <v>0</v>
      </c>
      <c r="F7" s="16">
        <f>'Balance Sheet'!F36</f>
        <v>0</v>
      </c>
      <c r="G7" s="16">
        <f>'Balance Sheet'!G36</f>
        <v>0</v>
      </c>
    </row>
    <row r="8" spans="2:7" ht="18.75" x14ac:dyDescent="0.25">
      <c r="B8" s="15" t="str">
        <f>'Balance Sheet'!B19</f>
        <v>Total Current Liabilities</v>
      </c>
      <c r="C8" s="16">
        <f>'Balance Sheet'!C19</f>
        <v>13625.27</v>
      </c>
      <c r="D8" s="16">
        <f>'Balance Sheet'!D19</f>
        <v>2947.6400000000003</v>
      </c>
      <c r="E8" s="16">
        <f>'Balance Sheet'!E19</f>
        <v>2257.0699999999997</v>
      </c>
      <c r="F8" s="16">
        <f>'Balance Sheet'!F19</f>
        <v>2963.08</v>
      </c>
      <c r="G8" s="16">
        <f>'Balance Sheet'!G19</f>
        <v>83629.59</v>
      </c>
    </row>
    <row r="9" spans="2:7" ht="18.75" x14ac:dyDescent="0.25">
      <c r="B9" s="17" t="s">
        <v>171</v>
      </c>
      <c r="C9" s="17">
        <f>ROUND((C6-C7)/ C8, 2)</f>
        <v>6.11</v>
      </c>
      <c r="D9" s="17">
        <f t="shared" ref="D9:G9" si="0">ROUND((D6-D7)/ D8, 2)</f>
        <v>39.71</v>
      </c>
      <c r="E9" s="17">
        <f t="shared" si="0"/>
        <v>63.45</v>
      </c>
      <c r="F9" s="17">
        <f t="shared" si="0"/>
        <v>52.46</v>
      </c>
      <c r="G9" s="17">
        <f t="shared" si="0"/>
        <v>2.4700000000000002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814BD-2A9C-4DB0-B9DC-DBAE7C33B384}">
  <dimension ref="A2:H41"/>
  <sheetViews>
    <sheetView topLeftCell="A23" workbookViewId="0">
      <selection activeCell="A41" sqref="A41"/>
    </sheetView>
  </sheetViews>
  <sheetFormatPr defaultRowHeight="15" x14ac:dyDescent="0.25"/>
  <sheetData>
    <row r="2" spans="1:8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56</v>
      </c>
      <c r="H4" t="s">
        <v>1</v>
      </c>
    </row>
    <row r="5" spans="1:8" x14ac:dyDescent="0.25">
      <c r="A5" t="s">
        <v>97</v>
      </c>
      <c r="B5" t="s">
        <v>97</v>
      </c>
      <c r="C5" s="2">
        <v>12336.56</v>
      </c>
      <c r="D5" s="2">
        <v>18397.29</v>
      </c>
      <c r="E5" s="2">
        <v>26223.07</v>
      </c>
      <c r="F5" s="2">
        <v>26504.52</v>
      </c>
      <c r="G5" s="2">
        <v>30739.15</v>
      </c>
      <c r="H5" t="s">
        <v>1</v>
      </c>
    </row>
    <row r="6" spans="1:8" x14ac:dyDescent="0.25">
      <c r="A6" t="s">
        <v>98</v>
      </c>
      <c r="B6" t="s">
        <v>98</v>
      </c>
      <c r="C6">
        <v>0</v>
      </c>
      <c r="D6">
        <v>0</v>
      </c>
      <c r="E6">
        <v>0</v>
      </c>
      <c r="F6">
        <v>0</v>
      </c>
      <c r="G6">
        <v>0</v>
      </c>
      <c r="H6" t="s">
        <v>1</v>
      </c>
    </row>
    <row r="7" spans="1:8" x14ac:dyDescent="0.25">
      <c r="B7" t="s">
        <v>57</v>
      </c>
      <c r="C7" s="2">
        <v>12336.56</v>
      </c>
      <c r="D7" s="2">
        <v>18397.29</v>
      </c>
      <c r="E7" s="2">
        <v>26223.07</v>
      </c>
      <c r="F7" s="2">
        <v>26504.52</v>
      </c>
      <c r="G7" s="2">
        <v>30739.15</v>
      </c>
      <c r="H7" t="s">
        <v>1</v>
      </c>
    </row>
    <row r="8" spans="1:8" x14ac:dyDescent="0.25">
      <c r="B8" t="s">
        <v>58</v>
      </c>
      <c r="C8" s="2">
        <v>13442.04</v>
      </c>
      <c r="D8" s="2">
        <v>18487.14</v>
      </c>
      <c r="E8" s="2">
        <v>26373.77</v>
      </c>
      <c r="F8" s="2">
        <v>26668.1</v>
      </c>
      <c r="G8" s="2">
        <v>31632.42</v>
      </c>
      <c r="H8" t="s">
        <v>1</v>
      </c>
    </row>
    <row r="9" spans="1:8" x14ac:dyDescent="0.25">
      <c r="A9" t="s">
        <v>59</v>
      </c>
      <c r="B9" t="s">
        <v>59</v>
      </c>
      <c r="C9">
        <v>23.87</v>
      </c>
      <c r="D9">
        <v>13.04</v>
      </c>
      <c r="E9">
        <v>11.87</v>
      </c>
      <c r="F9">
        <v>14.95</v>
      </c>
      <c r="G9">
        <v>7.99</v>
      </c>
      <c r="H9" t="s">
        <v>1</v>
      </c>
    </row>
    <row r="10" spans="1:8" x14ac:dyDescent="0.25">
      <c r="B10" t="s">
        <v>60</v>
      </c>
      <c r="C10" s="2">
        <v>13465.91</v>
      </c>
      <c r="D10" s="2">
        <v>18500.18</v>
      </c>
      <c r="E10" s="2">
        <v>26385.64</v>
      </c>
      <c r="F10" s="2">
        <v>26683.05</v>
      </c>
      <c r="G10" s="2">
        <v>31640.41</v>
      </c>
      <c r="H10" t="s">
        <v>1</v>
      </c>
    </row>
    <row r="11" spans="1:8" x14ac:dyDescent="0.25">
      <c r="B11" t="s">
        <v>61</v>
      </c>
      <c r="H11" t="s">
        <v>1</v>
      </c>
    </row>
    <row r="12" spans="1:8" x14ac:dyDescent="0.25">
      <c r="A12" t="s">
        <v>99</v>
      </c>
      <c r="B12" t="s">
        <v>62</v>
      </c>
      <c r="C12">
        <v>0</v>
      </c>
      <c r="D12">
        <v>0</v>
      </c>
      <c r="E12">
        <v>0</v>
      </c>
      <c r="F12">
        <v>0</v>
      </c>
      <c r="G12">
        <v>0</v>
      </c>
      <c r="H12" t="s">
        <v>1</v>
      </c>
    </row>
    <row r="13" spans="1:8" x14ac:dyDescent="0.25">
      <c r="B13" t="s">
        <v>63</v>
      </c>
      <c r="C13">
        <v>0</v>
      </c>
      <c r="D13">
        <v>0</v>
      </c>
      <c r="E13">
        <v>0</v>
      </c>
      <c r="F13">
        <v>0</v>
      </c>
      <c r="G13">
        <v>0</v>
      </c>
      <c r="H13" t="s">
        <v>1</v>
      </c>
    </row>
    <row r="14" spans="1:8" x14ac:dyDescent="0.25">
      <c r="A14" t="s">
        <v>99</v>
      </c>
      <c r="B14" t="s">
        <v>64</v>
      </c>
      <c r="C14">
        <v>0</v>
      </c>
      <c r="D14" s="2">
        <v>712.88</v>
      </c>
      <c r="E14" s="2">
        <v>1056.3699999999999</v>
      </c>
      <c r="F14">
        <v>1246.48</v>
      </c>
      <c r="G14">
        <v>0</v>
      </c>
      <c r="H14" t="s">
        <v>1</v>
      </c>
    </row>
    <row r="15" spans="1:8" x14ac:dyDescent="0.25">
      <c r="B15" t="s">
        <v>65</v>
      </c>
      <c r="C15">
        <v>0</v>
      </c>
      <c r="D15">
        <v>0</v>
      </c>
      <c r="E15">
        <v>0</v>
      </c>
      <c r="F15">
        <v>0</v>
      </c>
      <c r="G15">
        <v>0</v>
      </c>
      <c r="H15" t="s">
        <v>1</v>
      </c>
    </row>
    <row r="16" spans="1:8" x14ac:dyDescent="0.25">
      <c r="A16" t="s">
        <v>99</v>
      </c>
      <c r="B16" t="s">
        <v>66</v>
      </c>
      <c r="C16" s="2">
        <v>1419.59</v>
      </c>
      <c r="D16" s="2">
        <v>1938.53</v>
      </c>
      <c r="E16" s="2">
        <v>2547.96</v>
      </c>
      <c r="F16" s="2">
        <v>2498.67</v>
      </c>
      <c r="G16" s="2">
        <v>3589.66</v>
      </c>
      <c r="H16" t="s">
        <v>1</v>
      </c>
    </row>
    <row r="17" spans="1:8" x14ac:dyDescent="0.25">
      <c r="A17" t="s">
        <v>100</v>
      </c>
      <c r="B17" t="s">
        <v>67</v>
      </c>
      <c r="C17" s="2">
        <v>4634.33</v>
      </c>
      <c r="D17" s="2">
        <v>6623.56</v>
      </c>
      <c r="E17" s="2">
        <v>9473.2099999999991</v>
      </c>
      <c r="F17" s="2">
        <v>9414</v>
      </c>
      <c r="G17" s="2">
        <v>9748.24</v>
      </c>
      <c r="H17" t="s">
        <v>1</v>
      </c>
    </row>
    <row r="18" spans="1:8" x14ac:dyDescent="0.25">
      <c r="A18" t="s">
        <v>101</v>
      </c>
      <c r="B18" t="s">
        <v>68</v>
      </c>
      <c r="C18">
        <v>102.07</v>
      </c>
      <c r="D18">
        <v>144.15</v>
      </c>
      <c r="E18">
        <v>294.63</v>
      </c>
      <c r="F18">
        <v>325.27</v>
      </c>
      <c r="G18">
        <v>384.57</v>
      </c>
      <c r="H18" t="s">
        <v>1</v>
      </c>
    </row>
    <row r="19" spans="1:8" x14ac:dyDescent="0.25">
      <c r="A19" t="s">
        <v>99</v>
      </c>
      <c r="B19" t="s">
        <v>69</v>
      </c>
      <c r="C19" s="2">
        <v>2168.5300000000002</v>
      </c>
      <c r="D19" s="2">
        <v>1400.55</v>
      </c>
      <c r="E19" s="2">
        <v>1761.87</v>
      </c>
      <c r="F19" s="2">
        <v>1237.79</v>
      </c>
      <c r="G19" s="2">
        <v>3610.76</v>
      </c>
      <c r="H19" t="s">
        <v>1</v>
      </c>
    </row>
    <row r="20" spans="1:8" x14ac:dyDescent="0.25">
      <c r="B20" t="s">
        <v>70</v>
      </c>
      <c r="C20" s="2">
        <v>9369.7099999999991</v>
      </c>
      <c r="D20" s="2">
        <v>12321.02</v>
      </c>
      <c r="E20" s="2">
        <v>19063.52</v>
      </c>
      <c r="F20" s="2">
        <v>20690.79</v>
      </c>
      <c r="G20" s="2">
        <v>22136.63</v>
      </c>
      <c r="H20" t="s">
        <v>1</v>
      </c>
    </row>
    <row r="21" spans="1:8" x14ac:dyDescent="0.25">
      <c r="B21" t="s">
        <v>71</v>
      </c>
      <c r="C21" s="2">
        <v>4096.2</v>
      </c>
      <c r="D21" s="2">
        <v>6179.16</v>
      </c>
      <c r="E21" s="2">
        <v>7322.12</v>
      </c>
      <c r="F21" s="2">
        <v>5992.26</v>
      </c>
      <c r="G21" s="2">
        <v>9503.7800000000007</v>
      </c>
      <c r="H21" t="s">
        <v>1</v>
      </c>
    </row>
    <row r="22" spans="1:8" x14ac:dyDescent="0.25">
      <c r="A22" t="s">
        <v>102</v>
      </c>
      <c r="B22" t="s">
        <v>72</v>
      </c>
      <c r="C22">
        <v>0</v>
      </c>
      <c r="D22">
        <v>0</v>
      </c>
      <c r="E22">
        <v>0</v>
      </c>
      <c r="F22">
        <v>0</v>
      </c>
      <c r="G22">
        <v>0</v>
      </c>
      <c r="H22" t="s">
        <v>1</v>
      </c>
    </row>
    <row r="23" spans="1:8" x14ac:dyDescent="0.25">
      <c r="B23" t="s">
        <v>73</v>
      </c>
      <c r="C23" s="2">
        <v>4096.2</v>
      </c>
      <c r="D23" s="2">
        <v>6179.16</v>
      </c>
      <c r="E23" s="2">
        <v>7322.12</v>
      </c>
      <c r="F23" s="2">
        <v>5992.26</v>
      </c>
      <c r="G23" s="2">
        <v>9503.7800000000007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1439.43</v>
      </c>
      <c r="D25" s="2">
        <v>2085.89</v>
      </c>
      <c r="E25" s="2">
        <v>2205.25</v>
      </c>
      <c r="F25" s="2">
        <v>1660.26</v>
      </c>
      <c r="G25" s="2">
        <v>2475.5500000000002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-17.34</v>
      </c>
      <c r="D27">
        <v>98.28</v>
      </c>
      <c r="E27">
        <v>-146.88</v>
      </c>
      <c r="F27">
        <v>-87.82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1422.09</v>
      </c>
      <c r="D29" s="2">
        <v>2184.17</v>
      </c>
      <c r="E29" s="2">
        <v>2058.37</v>
      </c>
      <c r="F29" s="2">
        <v>1572.44</v>
      </c>
      <c r="G29" s="2">
        <v>2475.5500000000002</v>
      </c>
      <c r="H29" t="s">
        <v>1</v>
      </c>
    </row>
    <row r="30" spans="1:8" x14ac:dyDescent="0.25">
      <c r="B30" t="s">
        <v>80</v>
      </c>
      <c r="C30" s="2">
        <v>2674.11</v>
      </c>
      <c r="D30" s="2">
        <v>3994.99</v>
      </c>
      <c r="E30" s="2">
        <v>5263.75</v>
      </c>
      <c r="F30" s="2">
        <v>4419.82</v>
      </c>
      <c r="G30" s="2">
        <v>7028.23</v>
      </c>
      <c r="H30" t="s">
        <v>1</v>
      </c>
    </row>
    <row r="31" spans="1:8" x14ac:dyDescent="0.25">
      <c r="B31" t="s">
        <v>81</v>
      </c>
      <c r="C31" s="2">
        <v>2674.11</v>
      </c>
      <c r="D31" s="2">
        <v>3994.99</v>
      </c>
      <c r="E31" s="2">
        <v>5263.75</v>
      </c>
      <c r="F31" s="2">
        <v>4419.82</v>
      </c>
      <c r="G31" s="2">
        <v>7028.23</v>
      </c>
      <c r="H31" t="s">
        <v>1</v>
      </c>
    </row>
    <row r="32" spans="1:8" x14ac:dyDescent="0.25">
      <c r="B32" t="s">
        <v>82</v>
      </c>
      <c r="C32" s="2">
        <v>2674.11</v>
      </c>
      <c r="D32" s="2">
        <v>3994.99</v>
      </c>
      <c r="E32" s="2">
        <v>5263.75</v>
      </c>
      <c r="F32" s="2">
        <v>4419.82</v>
      </c>
      <c r="G32" s="2">
        <v>7028.23</v>
      </c>
      <c r="H32" t="s">
        <v>1</v>
      </c>
    </row>
    <row r="33" spans="1:8" x14ac:dyDescent="0.25">
      <c r="B33" t="s">
        <v>10</v>
      </c>
      <c r="C33">
        <v>0</v>
      </c>
      <c r="D33">
        <v>0</v>
      </c>
      <c r="E33">
        <v>0</v>
      </c>
      <c r="F33">
        <v>0</v>
      </c>
      <c r="G33">
        <v>0</v>
      </c>
      <c r="H33" t="s">
        <v>1</v>
      </c>
    </row>
    <row r="34" spans="1:8" x14ac:dyDescent="0.25">
      <c r="B34" t="s">
        <v>83</v>
      </c>
      <c r="C34" s="2">
        <v>2674.11</v>
      </c>
      <c r="D34" s="2">
        <v>3994.99</v>
      </c>
      <c r="E34" s="2">
        <v>5263.75</v>
      </c>
      <c r="F34" s="2">
        <v>4419.82</v>
      </c>
      <c r="G34" s="2">
        <v>7028.23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48</v>
      </c>
      <c r="D37">
        <v>69</v>
      </c>
      <c r="E37">
        <v>90</v>
      </c>
      <c r="F37">
        <v>74</v>
      </c>
      <c r="G37">
        <v>117</v>
      </c>
      <c r="H37" t="s">
        <v>1</v>
      </c>
    </row>
    <row r="38" spans="1:8" x14ac:dyDescent="0.25">
      <c r="B38" t="s">
        <v>86</v>
      </c>
      <c r="C38">
        <v>47</v>
      </c>
      <c r="D38">
        <v>69</v>
      </c>
      <c r="E38">
        <v>89</v>
      </c>
      <c r="F38">
        <v>73</v>
      </c>
      <c r="G38">
        <v>116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197.96</v>
      </c>
      <c r="D40">
        <v>231.19</v>
      </c>
      <c r="E40">
        <v>949.63</v>
      </c>
      <c r="F40">
        <v>0</v>
      </c>
      <c r="G40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40.299999999999997</v>
      </c>
      <c r="D41">
        <v>47.52</v>
      </c>
      <c r="E41">
        <v>195.2</v>
      </c>
      <c r="F41">
        <v>0</v>
      </c>
      <c r="G41">
        <v>0</v>
      </c>
      <c r="H41" t="s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566C1-39AA-4679-9E9C-226AEAE21B3B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3" width="11.5703125" bestFit="1" customWidth="1"/>
    <col min="4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8670.2400000000016</v>
      </c>
      <c r="D6" s="16">
        <f>'Income Statement'!D19</f>
        <v>14214.220000000003</v>
      </c>
      <c r="E6" s="16">
        <f>'Income Statement'!E19</f>
        <v>20574.109999999997</v>
      </c>
      <c r="F6" s="16">
        <f>'Income Statement'!F19</f>
        <v>21211.26</v>
      </c>
      <c r="G6" s="16">
        <f>'Income Statement'!G19</f>
        <v>23162.15</v>
      </c>
    </row>
    <row r="7" spans="2:7" ht="18.75" x14ac:dyDescent="0.25">
      <c r="B7" s="15" t="str">
        <f>'Income Statement'!B20</f>
        <v>Finance Costs</v>
      </c>
      <c r="C7" s="16">
        <f>'Income Statement'!C20</f>
        <v>4634.33</v>
      </c>
      <c r="D7" s="16">
        <f>'Income Statement'!D20</f>
        <v>6623.56</v>
      </c>
      <c r="E7" s="16">
        <f>'Income Statement'!E20</f>
        <v>9473.2099999999991</v>
      </c>
      <c r="F7" s="16">
        <f>'Income Statement'!F20</f>
        <v>9414</v>
      </c>
      <c r="G7" s="16">
        <f>'Income Statement'!G20</f>
        <v>9748.24</v>
      </c>
    </row>
    <row r="8" spans="2:7" ht="18.75" x14ac:dyDescent="0.25">
      <c r="B8" s="17" t="s">
        <v>173</v>
      </c>
      <c r="C8" s="17">
        <f>ROUND(C6/C7, 2)</f>
        <v>1.87</v>
      </c>
      <c r="D8" s="17">
        <f t="shared" ref="D8:G8" si="0">ROUND(D6/D7, 2)</f>
        <v>2.15</v>
      </c>
      <c r="E8" s="17">
        <f t="shared" si="0"/>
        <v>2.17</v>
      </c>
      <c r="F8" s="17">
        <f t="shared" si="0"/>
        <v>2.25</v>
      </c>
      <c r="G8" s="17">
        <f t="shared" si="0"/>
        <v>2.38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C70D7-2613-4704-BDD5-862CF66EA665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174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0</v>
      </c>
      <c r="D6" s="16">
        <f>'Income Statement'!D11</f>
        <v>0</v>
      </c>
      <c r="E6" s="16">
        <f>'Income Statement'!E11</f>
        <v>0</v>
      </c>
      <c r="F6" s="16">
        <f>'Income Statement'!F11</f>
        <v>0</v>
      </c>
      <c r="G6" s="16">
        <f>'Income Statement'!G11</f>
        <v>0</v>
      </c>
    </row>
    <row r="7" spans="2:7" ht="18.75" x14ac:dyDescent="0.25">
      <c r="B7" s="15" t="str">
        <f>'Income Statement'!B7</f>
        <v>Net Sales</v>
      </c>
      <c r="C7" s="16">
        <f>'Income Statement'!C7</f>
        <v>12336.56</v>
      </c>
      <c r="D7" s="16">
        <f>'Income Statement'!D7</f>
        <v>18397.29</v>
      </c>
      <c r="E7" s="16">
        <f>'Income Statement'!E7</f>
        <v>26223.07</v>
      </c>
      <c r="F7" s="16">
        <f>'Income Statement'!F7</f>
        <v>26504.52</v>
      </c>
      <c r="G7" s="16">
        <f>'Income Statement'!G7</f>
        <v>30739.15</v>
      </c>
    </row>
    <row r="8" spans="2:7" ht="18.75" x14ac:dyDescent="0.25">
      <c r="B8" s="17" t="s">
        <v>175</v>
      </c>
      <c r="C8" s="17">
        <f>ROUND(C6/C7, 2)</f>
        <v>0</v>
      </c>
      <c r="D8" s="17">
        <f t="shared" ref="D8:G8" si="0">ROUND(D6/D7, 2)</f>
        <v>0</v>
      </c>
      <c r="E8" s="17">
        <f t="shared" si="0"/>
        <v>0</v>
      </c>
      <c r="F8" s="17">
        <f t="shared" si="0"/>
        <v>0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F8940-8979-4EF2-8C6A-3031CF585AF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6" width="11.5703125" bestFit="1" customWidth="1"/>
    <col min="7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176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339.46</v>
      </c>
      <c r="D6" s="16">
        <f>'Balance Sheet'!D38</f>
        <v>2472.8800000000128</v>
      </c>
      <c r="E6" s="16">
        <f>'Balance Sheet'!E38</f>
        <v>-926.76999999998134</v>
      </c>
      <c r="F6" s="16">
        <f>'Balance Sheet'!F38</f>
        <v>5870.3200000000079</v>
      </c>
      <c r="G6" s="16">
        <f>'Balance Sheet'!G38</f>
        <v>11859.440000000024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0</v>
      </c>
      <c r="D7" s="16">
        <f>'Income Statement'!D11</f>
        <v>0</v>
      </c>
      <c r="E7" s="16">
        <f>'Income Statement'!E11</f>
        <v>0</v>
      </c>
      <c r="F7" s="16">
        <f>'Income Statement'!F11</f>
        <v>0</v>
      </c>
      <c r="G7" s="16">
        <f>'Income Statement'!G11</f>
        <v>0</v>
      </c>
    </row>
    <row r="8" spans="2:7" ht="18.75" x14ac:dyDescent="0.25">
      <c r="B8" s="17" t="s">
        <v>177</v>
      </c>
      <c r="C8" s="17" t="e">
        <f>ROUND(C6/C7*365, 2)</f>
        <v>#DIV/0!</v>
      </c>
      <c r="D8" s="17" t="e">
        <f t="shared" ref="D8:G8" si="0">ROUND(D6/D7*365, 2)</f>
        <v>#DIV/0!</v>
      </c>
      <c r="E8" s="17" t="e">
        <f t="shared" si="0"/>
        <v>#DIV/0!</v>
      </c>
      <c r="F8" s="17" t="e">
        <f t="shared" si="0"/>
        <v>#DIV/0!</v>
      </c>
      <c r="G8" s="17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472839-4029-40FB-B4D3-173E2F8B7F32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0.7109375" bestFit="1" customWidth="1"/>
    <col min="4" max="4" width="12.28515625" bestFit="1" customWidth="1"/>
    <col min="5" max="5" width="11.7109375" bestFit="1" customWidth="1"/>
    <col min="6" max="6" width="12.28515625" bestFit="1" customWidth="1"/>
    <col min="7" max="7" width="14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178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339.46</v>
      </c>
      <c r="D6" s="16">
        <f>'Balance Sheet'!D38</f>
        <v>2472.8800000000128</v>
      </c>
      <c r="E6" s="16">
        <f>'Balance Sheet'!E38</f>
        <v>-926.76999999998134</v>
      </c>
      <c r="F6" s="16">
        <f>'Balance Sheet'!F38</f>
        <v>5870.3200000000079</v>
      </c>
      <c r="G6" s="16">
        <f>'Balance Sheet'!G38</f>
        <v>11859.440000000024</v>
      </c>
    </row>
    <row r="7" spans="2:7" ht="18.75" x14ac:dyDescent="0.25">
      <c r="B7" s="15" t="s">
        <v>179</v>
      </c>
      <c r="C7" s="16">
        <v>365</v>
      </c>
      <c r="D7" s="16">
        <v>365</v>
      </c>
      <c r="E7" s="16">
        <v>365</v>
      </c>
      <c r="F7" s="16">
        <v>365</v>
      </c>
      <c r="G7" s="16">
        <v>365</v>
      </c>
    </row>
    <row r="8" spans="2:7" ht="18.75" x14ac:dyDescent="0.25">
      <c r="B8" s="17" t="s">
        <v>180</v>
      </c>
      <c r="C8" s="17">
        <f>ROUND(C6/C7*365, 2)</f>
        <v>339.46</v>
      </c>
      <c r="D8" s="17">
        <f t="shared" ref="D8:G8" si="0">ROUND(D6/D7*365, 2)</f>
        <v>2472.88</v>
      </c>
      <c r="E8" s="17">
        <f t="shared" si="0"/>
        <v>-926.77</v>
      </c>
      <c r="F8" s="17">
        <f t="shared" si="0"/>
        <v>5870.32</v>
      </c>
      <c r="G8" s="17">
        <f t="shared" si="0"/>
        <v>11859.44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4BE76-2578-4F3F-8AA3-3BD35B588AD5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3" width="13.140625" bestFit="1" customWidth="1"/>
    <col min="4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12336.56</v>
      </c>
      <c r="D6" s="16">
        <f>'Income Statement'!D5</f>
        <v>18397.29</v>
      </c>
      <c r="E6" s="16">
        <f>'Income Statement'!E5</f>
        <v>26223.07</v>
      </c>
      <c r="F6" s="16">
        <f>'Income Statement'!F5</f>
        <v>26504.52</v>
      </c>
      <c r="G6" s="16">
        <f>'Income Statement'!G5</f>
        <v>30739.15</v>
      </c>
    </row>
    <row r="7" spans="2:7" ht="18.75" x14ac:dyDescent="0.25">
      <c r="B7" s="15" t="str">
        <f>'Balance Sheet'!B40</f>
        <v>Total Assets</v>
      </c>
      <c r="C7" s="16">
        <f>'Balance Sheet'!C40</f>
        <v>86824.34</v>
      </c>
      <c r="D7" s="16">
        <f>'Balance Sheet'!D40</f>
        <v>126209.26000000002</v>
      </c>
      <c r="E7" s="16">
        <f>'Balance Sheet'!E40</f>
        <v>161639.59</v>
      </c>
      <c r="F7" s="16">
        <f>'Balance Sheet'!F40</f>
        <v>174409.7</v>
      </c>
      <c r="G7" s="16">
        <f>'Balance Sheet'!G40</f>
        <v>219532.61000000004</v>
      </c>
    </row>
    <row r="8" spans="2:7" ht="18.75" x14ac:dyDescent="0.25">
      <c r="B8" s="17" t="s">
        <v>182</v>
      </c>
      <c r="C8" s="17">
        <f>ROUND(C6/C7, 2)</f>
        <v>0.14000000000000001</v>
      </c>
      <c r="D8" s="17">
        <f t="shared" ref="D8:G8" si="0">ROUND(D6/D7, 2)</f>
        <v>0.15</v>
      </c>
      <c r="E8" s="17">
        <f t="shared" si="0"/>
        <v>0.16</v>
      </c>
      <c r="F8" s="17">
        <f t="shared" si="0"/>
        <v>0.15</v>
      </c>
      <c r="G8" s="17">
        <f t="shared" si="0"/>
        <v>0.14000000000000001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0873CB-AE0B-464D-BF61-3D611DB95826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183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12336.56</v>
      </c>
      <c r="D6" s="16">
        <f>'Income Statement'!D5</f>
        <v>18397.29</v>
      </c>
      <c r="E6" s="16">
        <f>'Income Statement'!E5</f>
        <v>26223.07</v>
      </c>
      <c r="F6" s="16">
        <f>'Income Statement'!F5</f>
        <v>26504.52</v>
      </c>
      <c r="G6" s="16">
        <f>'Income Statement'!G5</f>
        <v>30739.15</v>
      </c>
    </row>
    <row r="7" spans="2:7" ht="18.75" x14ac:dyDescent="0.25">
      <c r="B7" s="15" t="str">
        <f>'Balance Sheet'!B36</f>
        <v>Inventories</v>
      </c>
      <c r="C7" s="16">
        <f>'Balance Sheet'!C36</f>
        <v>0</v>
      </c>
      <c r="D7" s="16">
        <f>'Balance Sheet'!D36</f>
        <v>0</v>
      </c>
      <c r="E7" s="16">
        <f>'Balance Sheet'!E36</f>
        <v>0</v>
      </c>
      <c r="F7" s="16">
        <f>'Balance Sheet'!F36</f>
        <v>0</v>
      </c>
      <c r="G7" s="16">
        <f>'Balance Sheet'!G36</f>
        <v>0</v>
      </c>
    </row>
    <row r="8" spans="2:7" ht="18.75" x14ac:dyDescent="0.25">
      <c r="B8" s="17" t="s">
        <v>184</v>
      </c>
      <c r="C8" s="17" t="e">
        <f>ROUND(C6/C7, 2)</f>
        <v>#DIV/0!</v>
      </c>
      <c r="D8" s="17" t="e">
        <f t="shared" ref="D8:G8" si="0">ROUND(D6/D7, 2)</f>
        <v>#DIV/0!</v>
      </c>
      <c r="E8" s="17" t="e">
        <f t="shared" si="0"/>
        <v>#DIV/0!</v>
      </c>
      <c r="F8" s="17" t="e">
        <f t="shared" si="0"/>
        <v>#DIV/0!</v>
      </c>
      <c r="G8" s="17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7FD3C5-0514-452E-87A7-6FD791393146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12336.56</v>
      </c>
      <c r="D6" s="16">
        <f>'Income Statement'!D5</f>
        <v>18397.29</v>
      </c>
      <c r="E6" s="16">
        <f>'Income Statement'!E5</f>
        <v>26223.07</v>
      </c>
      <c r="F6" s="16">
        <f>'Income Statement'!F5</f>
        <v>26504.52</v>
      </c>
      <c r="G6" s="16">
        <f>'Income Statement'!G5</f>
        <v>30739.15</v>
      </c>
    </row>
    <row r="7" spans="2:7" ht="18.75" x14ac:dyDescent="0.25">
      <c r="B7" s="15" t="str">
        <f>'Balance Sheet'!B37</f>
        <v>Trade Receivables</v>
      </c>
      <c r="C7" s="16">
        <f>'Balance Sheet'!C37</f>
        <v>34332.18</v>
      </c>
      <c r="D7" s="16">
        <f>'Balance Sheet'!D37</f>
        <v>808.7</v>
      </c>
      <c r="E7" s="16">
        <f>'Balance Sheet'!E37</f>
        <v>952.56</v>
      </c>
      <c r="F7" s="16">
        <f>'Balance Sheet'!F37</f>
        <v>1107.24</v>
      </c>
      <c r="G7" s="16">
        <f>'Balance Sheet'!G37</f>
        <v>1265.8900000000001</v>
      </c>
    </row>
    <row r="8" spans="2:7" ht="18.75" x14ac:dyDescent="0.25">
      <c r="B8" s="17" t="s">
        <v>186</v>
      </c>
      <c r="C8" s="17">
        <f>ROUND(C6/C7, 2)</f>
        <v>0.36</v>
      </c>
      <c r="D8" s="17">
        <f t="shared" ref="D8:G8" si="0">ROUND(D6/D7, 2)</f>
        <v>22.75</v>
      </c>
      <c r="E8" s="17">
        <f t="shared" si="0"/>
        <v>27.53</v>
      </c>
      <c r="F8" s="17">
        <f t="shared" si="0"/>
        <v>23.94</v>
      </c>
      <c r="G8" s="17">
        <f t="shared" si="0"/>
        <v>24.28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25DF7-B81A-4854-81A5-C2E1633877E4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12336.56</v>
      </c>
      <c r="D6" s="16">
        <f>'Income Statement'!D5</f>
        <v>18397.29</v>
      </c>
      <c r="E6" s="16">
        <f>'Income Statement'!E5</f>
        <v>26223.07</v>
      </c>
      <c r="F6" s="16">
        <f>'Income Statement'!F5</f>
        <v>26504.52</v>
      </c>
      <c r="G6" s="16">
        <f>'Income Statement'!G5</f>
        <v>30739.15</v>
      </c>
    </row>
    <row r="7" spans="2:7" ht="18.75" x14ac:dyDescent="0.25">
      <c r="B7" s="15" t="str">
        <f>'Balance Sheet'!B23</f>
        <v>Tangible Assets</v>
      </c>
      <c r="C7" s="16">
        <f>'Balance Sheet'!C23</f>
        <v>346.15</v>
      </c>
      <c r="D7" s="16">
        <f>'Balance Sheet'!D23</f>
        <v>526.51</v>
      </c>
      <c r="E7" s="16">
        <f>'Balance Sheet'!E23</f>
        <v>1097.26</v>
      </c>
      <c r="F7" s="16">
        <f>'Balance Sheet'!F23</f>
        <v>1041.69</v>
      </c>
      <c r="G7" s="16">
        <f>'Balance Sheet'!G23</f>
        <v>1747.17</v>
      </c>
    </row>
    <row r="8" spans="2:7" ht="18.75" x14ac:dyDescent="0.25">
      <c r="B8" s="17" t="s">
        <v>188</v>
      </c>
      <c r="C8" s="17">
        <f>ROUND(C6/C7, 2)</f>
        <v>35.64</v>
      </c>
      <c r="D8" s="17">
        <f t="shared" ref="D8:G8" si="0">ROUND(D6/D7, 2)</f>
        <v>34.94</v>
      </c>
      <c r="E8" s="17">
        <f t="shared" si="0"/>
        <v>23.9</v>
      </c>
      <c r="F8" s="17">
        <f t="shared" si="0"/>
        <v>25.44</v>
      </c>
      <c r="G8" s="17">
        <f t="shared" si="0"/>
        <v>17.59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692FB-D8DC-4CC5-99B6-7AB667902A4E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3" width="13.140625" bestFit="1" customWidth="1"/>
    <col min="4" max="6" width="11.5703125" bestFit="1" customWidth="1"/>
    <col min="7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189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0</v>
      </c>
      <c r="D6" s="16">
        <f>'Income Statement'!D11</f>
        <v>0</v>
      </c>
      <c r="E6" s="16">
        <f>'Income Statement'!E11</f>
        <v>0</v>
      </c>
      <c r="F6" s="16">
        <f>'Income Statement'!F11</f>
        <v>0</v>
      </c>
      <c r="G6" s="16">
        <f>'Income Statement'!G11</f>
        <v>0</v>
      </c>
    </row>
    <row r="7" spans="2:7" ht="18.75" x14ac:dyDescent="0.25">
      <c r="B7" s="15" t="str">
        <f>'Balance Sheet'!B19</f>
        <v>Total Current Liabilities</v>
      </c>
      <c r="C7" s="16">
        <f>'Balance Sheet'!C19</f>
        <v>13625.27</v>
      </c>
      <c r="D7" s="16">
        <f>'Balance Sheet'!D19</f>
        <v>2947.6400000000003</v>
      </c>
      <c r="E7" s="16">
        <f>'Balance Sheet'!E19</f>
        <v>2257.0699999999997</v>
      </c>
      <c r="F7" s="16">
        <f>'Balance Sheet'!F19</f>
        <v>2963.08</v>
      </c>
      <c r="G7" s="16">
        <f>'Balance Sheet'!G19</f>
        <v>83629.59</v>
      </c>
    </row>
    <row r="8" spans="2:7" ht="18.75" x14ac:dyDescent="0.25">
      <c r="B8" s="17" t="s">
        <v>190</v>
      </c>
      <c r="C8" s="17">
        <f>ROUND(C6/C7, 2)</f>
        <v>0</v>
      </c>
      <c r="D8" s="17">
        <f t="shared" ref="D8:G8" si="0">ROUND(D6/D7, 2)</f>
        <v>0</v>
      </c>
      <c r="E8" s="17">
        <f t="shared" si="0"/>
        <v>0</v>
      </c>
      <c r="F8" s="17">
        <f t="shared" si="0"/>
        <v>0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787F9-75DF-43E4-A442-9F1BE3015C12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12336.56</v>
      </c>
      <c r="D6" s="16">
        <f>'Income Statement'!D5</f>
        <v>18397.29</v>
      </c>
      <c r="E6" s="16">
        <f>'Income Statement'!E5</f>
        <v>26223.07</v>
      </c>
      <c r="F6" s="16">
        <f>'Income Statement'!F5</f>
        <v>26504.52</v>
      </c>
      <c r="G6" s="16">
        <f>'Income Statement'!G5</f>
        <v>30739.15</v>
      </c>
    </row>
    <row r="7" spans="2:7" ht="18.75" x14ac:dyDescent="0.25">
      <c r="B7" s="15" t="str">
        <f>'Balance Sheet'!B36</f>
        <v>Inventories</v>
      </c>
      <c r="C7" s="16">
        <f>'Balance Sheet'!C36</f>
        <v>0</v>
      </c>
      <c r="D7" s="16">
        <f>'Balance Sheet'!D36</f>
        <v>0</v>
      </c>
      <c r="E7" s="16">
        <f>'Balance Sheet'!E36</f>
        <v>0</v>
      </c>
      <c r="F7" s="16">
        <f>'Balance Sheet'!F36</f>
        <v>0</v>
      </c>
      <c r="G7" s="16">
        <f>'Balance Sheet'!G36</f>
        <v>0</v>
      </c>
    </row>
    <row r="8" spans="2:7" ht="18.75" x14ac:dyDescent="0.25">
      <c r="B8" s="17" t="s">
        <v>192</v>
      </c>
      <c r="C8" s="17">
        <f>ROUND(365/C6*C7, 2)</f>
        <v>0</v>
      </c>
      <c r="D8" s="17">
        <f t="shared" ref="D8:G8" si="0">ROUND(365/D6*D7, 2)</f>
        <v>0</v>
      </c>
      <c r="E8" s="17">
        <f t="shared" si="0"/>
        <v>0</v>
      </c>
      <c r="F8" s="17">
        <f t="shared" si="0"/>
        <v>0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255F4-6E7B-4754-B5C8-0D07E74F7CBA}">
  <dimension ref="B3:G35"/>
  <sheetViews>
    <sheetView showGridLines="0" topLeftCell="A13" workbookViewId="0">
      <selection activeCell="C30" sqref="C30:G30"/>
    </sheetView>
  </sheetViews>
  <sheetFormatPr defaultRowHeight="15" x14ac:dyDescent="0.25"/>
  <cols>
    <col min="2" max="2" width="57.140625" bestFit="1" customWidth="1"/>
    <col min="3" max="7" width="18.85546875" bestFit="1" customWidth="1"/>
  </cols>
  <sheetData>
    <row r="3" spans="2:7" ht="18.75" x14ac:dyDescent="0.25">
      <c r="B3" s="10" t="s">
        <v>120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97</v>
      </c>
      <c r="C5" s="5">
        <v>12336.56</v>
      </c>
      <c r="D5" s="5">
        <v>18397.29</v>
      </c>
      <c r="E5" s="5">
        <v>26223.07</v>
      </c>
      <c r="F5" s="5">
        <v>26504.52</v>
      </c>
      <c r="G5" s="5">
        <v>30739.15</v>
      </c>
    </row>
    <row r="6" spans="2:7" ht="18.75" x14ac:dyDescent="0.25">
      <c r="B6" s="8" t="s">
        <v>98</v>
      </c>
      <c r="C6" s="4">
        <v>0</v>
      </c>
      <c r="D6" s="4">
        <v>0</v>
      </c>
      <c r="E6" s="4">
        <v>0</v>
      </c>
      <c r="F6" s="4">
        <v>0</v>
      </c>
      <c r="G6" s="4">
        <v>0</v>
      </c>
    </row>
    <row r="7" spans="2:7" ht="18.75" x14ac:dyDescent="0.25">
      <c r="B7" s="9" t="s">
        <v>105</v>
      </c>
      <c r="C7" s="7">
        <f>C5 - C6</f>
        <v>12336.56</v>
      </c>
      <c r="D7" s="7">
        <f t="shared" ref="D7:G7" si="0">D5 - D6</f>
        <v>18397.29</v>
      </c>
      <c r="E7" s="7">
        <f t="shared" si="0"/>
        <v>26223.07</v>
      </c>
      <c r="F7" s="7">
        <f t="shared" si="0"/>
        <v>26504.52</v>
      </c>
      <c r="G7" s="7">
        <f t="shared" si="0"/>
        <v>30739.15</v>
      </c>
    </row>
    <row r="8" spans="2:7" ht="18.75" x14ac:dyDescent="0.25">
      <c r="B8" s="8" t="s">
        <v>59</v>
      </c>
      <c r="C8" s="4">
        <v>23.87</v>
      </c>
      <c r="D8" s="4">
        <v>13.04</v>
      </c>
      <c r="E8" s="4">
        <v>11.87</v>
      </c>
      <c r="F8" s="4">
        <v>14.95</v>
      </c>
      <c r="G8" s="4">
        <v>7.99</v>
      </c>
    </row>
    <row r="9" spans="2:7" ht="18.75" x14ac:dyDescent="0.25">
      <c r="B9" s="8" t="s">
        <v>106</v>
      </c>
      <c r="C9" s="4"/>
      <c r="D9" s="4"/>
      <c r="E9" s="4"/>
      <c r="F9" s="4"/>
      <c r="G9" s="4"/>
    </row>
    <row r="10" spans="2:7" ht="18.75" x14ac:dyDescent="0.25">
      <c r="B10" s="9" t="s">
        <v>107</v>
      </c>
      <c r="C10" s="7">
        <f>SUM(C7:C9)</f>
        <v>12360.43</v>
      </c>
      <c r="D10" s="7">
        <f t="shared" ref="D10:G10" si="1">SUM(D7:D9)</f>
        <v>18410.330000000002</v>
      </c>
      <c r="E10" s="7">
        <f t="shared" si="1"/>
        <v>26234.94</v>
      </c>
      <c r="F10" s="7">
        <f t="shared" si="1"/>
        <v>26519.47</v>
      </c>
      <c r="G10" s="7">
        <f t="shared" si="1"/>
        <v>30747.140000000003</v>
      </c>
    </row>
    <row r="11" spans="2:7" ht="18.75" x14ac:dyDescent="0.25">
      <c r="B11" s="8" t="s">
        <v>62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</row>
    <row r="12" spans="2:7" ht="18.75" x14ac:dyDescent="0.25">
      <c r="B12" s="8" t="s">
        <v>64</v>
      </c>
      <c r="C12" s="4">
        <v>0</v>
      </c>
      <c r="D12" s="5">
        <v>712.88</v>
      </c>
      <c r="E12" s="5">
        <v>1056.3699999999999</v>
      </c>
      <c r="F12" s="4">
        <v>1246.48</v>
      </c>
      <c r="G12" s="4">
        <v>0</v>
      </c>
    </row>
    <row r="13" spans="2:7" ht="18.75" x14ac:dyDescent="0.25">
      <c r="B13" s="8" t="s">
        <v>66</v>
      </c>
      <c r="C13" s="5">
        <v>1419.59</v>
      </c>
      <c r="D13" s="5">
        <v>1938.53</v>
      </c>
      <c r="E13" s="5">
        <v>2547.96</v>
      </c>
      <c r="F13" s="5">
        <v>2498.67</v>
      </c>
      <c r="G13" s="5">
        <v>3589.66</v>
      </c>
    </row>
    <row r="14" spans="2:7" ht="18.75" x14ac:dyDescent="0.25">
      <c r="B14" s="8" t="s">
        <v>69</v>
      </c>
      <c r="C14" s="5">
        <v>2168.5300000000002</v>
      </c>
      <c r="D14" s="5">
        <v>1400.55</v>
      </c>
      <c r="E14" s="5">
        <v>1761.87</v>
      </c>
      <c r="F14" s="5">
        <v>1237.79</v>
      </c>
      <c r="G14" s="5">
        <v>3610.76</v>
      </c>
    </row>
    <row r="15" spans="2:7" ht="18.75" x14ac:dyDescent="0.25">
      <c r="B15" s="9" t="s">
        <v>108</v>
      </c>
      <c r="C15" s="7">
        <f>C11+C12+C13+C14</f>
        <v>3588.12</v>
      </c>
      <c r="D15" s="7">
        <f t="shared" ref="D15:G15" si="2">D11+D12+D13+D14</f>
        <v>4051.96</v>
      </c>
      <c r="E15" s="7">
        <f t="shared" si="2"/>
        <v>5366.2</v>
      </c>
      <c r="F15" s="7">
        <f t="shared" si="2"/>
        <v>4982.9400000000005</v>
      </c>
      <c r="G15" s="7">
        <f t="shared" si="2"/>
        <v>7200.42</v>
      </c>
    </row>
    <row r="16" spans="2:7" ht="18.75" x14ac:dyDescent="0.25">
      <c r="B16" s="9" t="s">
        <v>109</v>
      </c>
      <c r="C16" s="7">
        <f xml:space="preserve"> C10-C15-C8</f>
        <v>8748.44</v>
      </c>
      <c r="D16" s="7">
        <f t="shared" ref="D16:G16" si="3" xml:space="preserve"> D10-D15-D8</f>
        <v>14345.330000000002</v>
      </c>
      <c r="E16" s="7">
        <f t="shared" si="3"/>
        <v>20856.87</v>
      </c>
      <c r="F16" s="7">
        <f t="shared" si="3"/>
        <v>21521.579999999998</v>
      </c>
      <c r="G16" s="7">
        <f t="shared" si="3"/>
        <v>23538.73</v>
      </c>
    </row>
    <row r="17" spans="2:7" ht="18.75" x14ac:dyDescent="0.25">
      <c r="B17" s="9" t="s">
        <v>110</v>
      </c>
      <c r="C17" s="7">
        <f xml:space="preserve"> C16+C8</f>
        <v>8772.3100000000013</v>
      </c>
      <c r="D17" s="7">
        <f t="shared" ref="D17:G17" si="4" xml:space="preserve"> D16+D8</f>
        <v>14358.370000000003</v>
      </c>
      <c r="E17" s="7">
        <f t="shared" si="4"/>
        <v>20868.739999999998</v>
      </c>
      <c r="F17" s="7">
        <f t="shared" si="4"/>
        <v>21536.53</v>
      </c>
      <c r="G17" s="7">
        <f t="shared" si="4"/>
        <v>23546.720000000001</v>
      </c>
    </row>
    <row r="18" spans="2:7" ht="18.75" x14ac:dyDescent="0.25">
      <c r="B18" s="8" t="s">
        <v>68</v>
      </c>
      <c r="C18" s="4">
        <v>102.07</v>
      </c>
      <c r="D18" s="4">
        <v>144.15</v>
      </c>
      <c r="E18" s="4">
        <v>294.63</v>
      </c>
      <c r="F18" s="4">
        <v>325.27</v>
      </c>
      <c r="G18" s="4">
        <v>384.57</v>
      </c>
    </row>
    <row r="19" spans="2:7" ht="18.75" x14ac:dyDescent="0.25">
      <c r="B19" s="9" t="s">
        <v>111</v>
      </c>
      <c r="C19" s="7">
        <f xml:space="preserve"> C17-C18</f>
        <v>8670.2400000000016</v>
      </c>
      <c r="D19" s="7">
        <f t="shared" ref="D19:G19" si="5" xml:space="preserve"> D17-D18</f>
        <v>14214.220000000003</v>
      </c>
      <c r="E19" s="7">
        <f t="shared" si="5"/>
        <v>20574.109999999997</v>
      </c>
      <c r="F19" s="7">
        <f t="shared" si="5"/>
        <v>21211.26</v>
      </c>
      <c r="G19" s="7">
        <f t="shared" si="5"/>
        <v>23162.15</v>
      </c>
    </row>
    <row r="20" spans="2:7" ht="18.75" x14ac:dyDescent="0.25">
      <c r="B20" s="8" t="s">
        <v>67</v>
      </c>
      <c r="C20" s="5">
        <v>4634.33</v>
      </c>
      <c r="D20" s="5">
        <v>6623.56</v>
      </c>
      <c r="E20" s="5">
        <v>9473.2099999999991</v>
      </c>
      <c r="F20" s="5">
        <v>9414</v>
      </c>
      <c r="G20" s="5">
        <v>9748.24</v>
      </c>
    </row>
    <row r="21" spans="2:7" ht="18.75" x14ac:dyDescent="0.25">
      <c r="B21" s="9" t="s">
        <v>112</v>
      </c>
      <c r="C21" s="7">
        <f xml:space="preserve"> C19-C20</f>
        <v>4035.9100000000017</v>
      </c>
      <c r="D21" s="7">
        <f t="shared" ref="D21:G21" si="6" xml:space="preserve"> D19-D20</f>
        <v>7590.6600000000026</v>
      </c>
      <c r="E21" s="7">
        <f t="shared" si="6"/>
        <v>11100.899999999998</v>
      </c>
      <c r="F21" s="7">
        <f t="shared" si="6"/>
        <v>11797.259999999998</v>
      </c>
      <c r="G21" s="7">
        <f t="shared" si="6"/>
        <v>13413.910000000002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4035.9100000000017</v>
      </c>
      <c r="D23" s="7">
        <f t="shared" ref="D23:G23" si="7" xml:space="preserve"> D21+D22</f>
        <v>7590.6600000000026</v>
      </c>
      <c r="E23" s="7">
        <f t="shared" si="7"/>
        <v>11100.899999999998</v>
      </c>
      <c r="F23" s="7">
        <f t="shared" si="7"/>
        <v>11797.259999999998</v>
      </c>
      <c r="G23" s="7">
        <f t="shared" si="7"/>
        <v>13413.910000000002</v>
      </c>
    </row>
    <row r="24" spans="2:7" ht="18.75" x14ac:dyDescent="0.25">
      <c r="B24" s="8" t="s">
        <v>72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</row>
    <row r="25" spans="2:7" ht="18.75" x14ac:dyDescent="0.25">
      <c r="B25" s="9" t="s">
        <v>115</v>
      </c>
      <c r="C25" s="7">
        <f xml:space="preserve"> C23+C24</f>
        <v>4035.9100000000017</v>
      </c>
      <c r="D25" s="7">
        <f t="shared" ref="D25:G25" si="8" xml:space="preserve"> D23+D24</f>
        <v>7590.6600000000026</v>
      </c>
      <c r="E25" s="7">
        <f t="shared" si="8"/>
        <v>11100.899999999998</v>
      </c>
      <c r="F25" s="7">
        <f t="shared" si="8"/>
        <v>11797.259999999998</v>
      </c>
      <c r="G25" s="7">
        <f t="shared" si="8"/>
        <v>13413.910000000002</v>
      </c>
    </row>
    <row r="26" spans="2:7" ht="18.75" x14ac:dyDescent="0.25">
      <c r="B26" s="8" t="s">
        <v>79</v>
      </c>
      <c r="C26" s="5">
        <v>1422.09</v>
      </c>
      <c r="D26" s="5">
        <v>2184.17</v>
      </c>
      <c r="E26" s="5">
        <v>2058.37</v>
      </c>
      <c r="F26" s="5">
        <v>1572.44</v>
      </c>
      <c r="G26" s="5">
        <v>2475.5500000000002</v>
      </c>
    </row>
    <row r="27" spans="2:7" ht="18.75" x14ac:dyDescent="0.25">
      <c r="B27" s="9" t="s">
        <v>116</v>
      </c>
      <c r="C27" s="7">
        <f xml:space="preserve"> C25-C26</f>
        <v>2613.8200000000015</v>
      </c>
      <c r="D27" s="7">
        <f t="shared" ref="D27:G27" si="9" xml:space="preserve"> D25-D26</f>
        <v>5406.4900000000025</v>
      </c>
      <c r="E27" s="7">
        <f t="shared" si="9"/>
        <v>9042.5299999999988</v>
      </c>
      <c r="F27" s="7">
        <f t="shared" si="9"/>
        <v>10224.819999999998</v>
      </c>
      <c r="G27" s="7">
        <f t="shared" si="9"/>
        <v>10938.36</v>
      </c>
    </row>
    <row r="28" spans="2:7" ht="18.75" x14ac:dyDescent="0.25">
      <c r="B28" s="8" t="s">
        <v>88</v>
      </c>
      <c r="C28" s="4">
        <v>197.96</v>
      </c>
      <c r="D28" s="4">
        <v>231.19</v>
      </c>
      <c r="E28" s="4">
        <v>949.63</v>
      </c>
      <c r="F28" s="4">
        <v>0</v>
      </c>
      <c r="G28" s="4">
        <v>0</v>
      </c>
    </row>
    <row r="29" spans="2:7" ht="18.75" x14ac:dyDescent="0.25">
      <c r="B29" s="8" t="s">
        <v>89</v>
      </c>
      <c r="C29" s="4">
        <v>40.299999999999997</v>
      </c>
      <c r="D29" s="4">
        <v>47.52</v>
      </c>
      <c r="E29" s="4">
        <v>195.2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2375.5600000000013</v>
      </c>
      <c r="D30" s="7">
        <f t="shared" ref="D30:G30" si="10" xml:space="preserve"> D27-D28-D29</f>
        <v>5127.7800000000025</v>
      </c>
      <c r="E30" s="7">
        <f t="shared" si="10"/>
        <v>7897.6999999999989</v>
      </c>
      <c r="F30" s="7">
        <f t="shared" si="10"/>
        <v>10224.819999999998</v>
      </c>
      <c r="G30" s="7">
        <f t="shared" si="10"/>
        <v>10938.36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48</v>
      </c>
      <c r="D34" s="4">
        <v>69</v>
      </c>
      <c r="E34" s="4">
        <v>90</v>
      </c>
      <c r="F34" s="4">
        <v>74</v>
      </c>
      <c r="G34" s="4">
        <v>117</v>
      </c>
    </row>
    <row r="35" spans="2:7" ht="18.75" x14ac:dyDescent="0.25">
      <c r="B35" s="8" t="s">
        <v>118</v>
      </c>
      <c r="C35" s="4">
        <f>C27/C34</f>
        <v>54.454583333333368</v>
      </c>
      <c r="D35" s="4">
        <f t="shared" ref="D35:G35" si="11">D27/D34</f>
        <v>78.354927536231926</v>
      </c>
      <c r="E35" s="4">
        <f t="shared" si="11"/>
        <v>100.47255555555554</v>
      </c>
      <c r="F35" s="4">
        <f t="shared" si="11"/>
        <v>138.17324324324321</v>
      </c>
      <c r="G35" s="4">
        <f t="shared" si="11"/>
        <v>93.490256410256421</v>
      </c>
    </row>
  </sheetData>
  <mergeCells count="1">
    <mergeCell ref="B3:G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E4011-785F-4ABA-A087-CC572C21CB92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3" width="13.140625" bestFit="1" customWidth="1"/>
    <col min="4" max="6" width="11.5703125" bestFit="1" customWidth="1"/>
    <col min="7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193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0</v>
      </c>
      <c r="D6" s="16">
        <f>'Income Statement'!D11</f>
        <v>0</v>
      </c>
      <c r="E6" s="16">
        <f>'Income Statement'!E11</f>
        <v>0</v>
      </c>
      <c r="F6" s="16">
        <f>'Income Statement'!F11</f>
        <v>0</v>
      </c>
      <c r="G6" s="16">
        <f>'Income Statement'!G11</f>
        <v>0</v>
      </c>
    </row>
    <row r="7" spans="2:7" ht="18.75" x14ac:dyDescent="0.25">
      <c r="B7" s="15" t="str">
        <f>'Balance Sheet'!B19</f>
        <v>Total Current Liabilities</v>
      </c>
      <c r="C7" s="16">
        <f>'Balance Sheet'!C19</f>
        <v>13625.27</v>
      </c>
      <c r="D7" s="16">
        <f>'Balance Sheet'!D19</f>
        <v>2947.6400000000003</v>
      </c>
      <c r="E7" s="16">
        <f>'Balance Sheet'!E19</f>
        <v>2257.0699999999997</v>
      </c>
      <c r="F7" s="16">
        <f>'Balance Sheet'!F19</f>
        <v>2963.08</v>
      </c>
      <c r="G7" s="16">
        <f>'Balance Sheet'!G19</f>
        <v>83629.59</v>
      </c>
    </row>
    <row r="8" spans="2:7" ht="18.75" x14ac:dyDescent="0.25">
      <c r="B8" s="17" t="s">
        <v>194</v>
      </c>
      <c r="C8" s="17" t="e">
        <f>ROUND(365/C6*C7, 2)</f>
        <v>#DIV/0!</v>
      </c>
      <c r="D8" s="17" t="e">
        <f t="shared" ref="D8:G8" si="0">ROUND(365/D6*D7, 2)</f>
        <v>#DIV/0!</v>
      </c>
      <c r="E8" s="17" t="e">
        <f t="shared" si="0"/>
        <v>#DIV/0!</v>
      </c>
      <c r="F8" s="17" t="e">
        <f t="shared" si="0"/>
        <v>#DIV/0!</v>
      </c>
      <c r="G8" s="17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965CD-F778-4AE2-AEB2-296218A30AD3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12336.56</v>
      </c>
      <c r="D6" s="16">
        <f>'Income Statement'!D5</f>
        <v>18397.29</v>
      </c>
      <c r="E6" s="16">
        <f>'Income Statement'!E5</f>
        <v>26223.07</v>
      </c>
      <c r="F6" s="16">
        <f>'Income Statement'!F5</f>
        <v>26504.52</v>
      </c>
      <c r="G6" s="16">
        <f>'Income Statement'!G5</f>
        <v>30739.15</v>
      </c>
    </row>
    <row r="7" spans="2:7" ht="18.75" x14ac:dyDescent="0.25">
      <c r="B7" s="15" t="str">
        <f>'Balance Sheet'!B37</f>
        <v>Trade Receivables</v>
      </c>
      <c r="C7" s="16">
        <f>'Balance Sheet'!C37</f>
        <v>34332.18</v>
      </c>
      <c r="D7" s="16">
        <f>'Balance Sheet'!D37</f>
        <v>808.7</v>
      </c>
      <c r="E7" s="16">
        <f>'Balance Sheet'!E37</f>
        <v>952.56</v>
      </c>
      <c r="F7" s="16">
        <f>'Balance Sheet'!F37</f>
        <v>1107.24</v>
      </c>
      <c r="G7" s="16">
        <f>'Balance Sheet'!G37</f>
        <v>1265.8900000000001</v>
      </c>
    </row>
    <row r="8" spans="2:7" ht="18.75" x14ac:dyDescent="0.25">
      <c r="B8" s="17" t="s">
        <v>196</v>
      </c>
      <c r="C8" s="17">
        <f>ROUND(365/C6*C7, 2)</f>
        <v>1015.78</v>
      </c>
      <c r="D8" s="17">
        <f t="shared" ref="D8:G8" si="0">ROUND(365/D6*D7, 2)</f>
        <v>16.04</v>
      </c>
      <c r="E8" s="17">
        <f t="shared" si="0"/>
        <v>13.26</v>
      </c>
      <c r="F8" s="17">
        <f t="shared" si="0"/>
        <v>15.25</v>
      </c>
      <c r="G8" s="17">
        <f t="shared" si="0"/>
        <v>15.03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E3F83-9F4B-43E3-A438-1BD72881F5FE}">
  <dimension ref="B3:G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12336.56</v>
      </c>
      <c r="D6" s="16">
        <f>'Income Statement'!D5</f>
        <v>18397.29</v>
      </c>
      <c r="E6" s="16">
        <f>'Income Statement'!E5</f>
        <v>26223.07</v>
      </c>
      <c r="F6" s="16">
        <f>'Income Statement'!F5</f>
        <v>26504.52</v>
      </c>
      <c r="G6" s="16">
        <f>'Income Statement'!G5</f>
        <v>30739.15</v>
      </c>
    </row>
    <row r="7" spans="2:7" ht="18.75" x14ac:dyDescent="0.25">
      <c r="B7" s="15" t="str">
        <f>'Balance Sheet'!B36</f>
        <v>Inventories</v>
      </c>
      <c r="C7" s="16">
        <f>'Balance Sheet'!C36</f>
        <v>0</v>
      </c>
      <c r="D7" s="16">
        <f>'Balance Sheet'!D36</f>
        <v>0</v>
      </c>
      <c r="E7" s="16">
        <f>'Balance Sheet'!E36</f>
        <v>0</v>
      </c>
      <c r="F7" s="16">
        <f>'Balance Sheet'!F36</f>
        <v>0</v>
      </c>
      <c r="G7" s="16">
        <f>'Balance Sheet'!G36</f>
        <v>0</v>
      </c>
    </row>
    <row r="8" spans="2:7" ht="18.75" x14ac:dyDescent="0.25">
      <c r="B8" s="15" t="s">
        <v>192</v>
      </c>
      <c r="C8" s="16">
        <f>ROUND(365/C6*C7, 2)</f>
        <v>0</v>
      </c>
      <c r="D8" s="16">
        <f t="shared" ref="D8:G8" si="0">ROUND(365/D6*D7, 2)</f>
        <v>0</v>
      </c>
      <c r="E8" s="16">
        <f t="shared" si="0"/>
        <v>0</v>
      </c>
      <c r="F8" s="16">
        <f t="shared" si="0"/>
        <v>0</v>
      </c>
      <c r="G8" s="16">
        <f t="shared" si="0"/>
        <v>0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0</v>
      </c>
      <c r="D9" s="16">
        <f>'Income Statement'!D11</f>
        <v>0</v>
      </c>
      <c r="E9" s="16">
        <f>'Income Statement'!E11</f>
        <v>0</v>
      </c>
      <c r="F9" s="16">
        <f>'Income Statement'!F11</f>
        <v>0</v>
      </c>
      <c r="G9" s="16">
        <f>'Income Statement'!G11</f>
        <v>0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13625.27</v>
      </c>
      <c r="D10" s="16">
        <f>'Balance Sheet'!D19</f>
        <v>2947.6400000000003</v>
      </c>
      <c r="E10" s="16">
        <f>'Balance Sheet'!E19</f>
        <v>2257.0699999999997</v>
      </c>
      <c r="F10" s="16">
        <f>'Balance Sheet'!F19</f>
        <v>2963.08</v>
      </c>
      <c r="G10" s="16">
        <f>'Balance Sheet'!G19</f>
        <v>83629.59</v>
      </c>
    </row>
    <row r="11" spans="2:7" ht="18.75" x14ac:dyDescent="0.25">
      <c r="B11" s="15" t="s">
        <v>194</v>
      </c>
      <c r="C11" s="16" t="e">
        <f>ROUND(365/C9*C10, 2)</f>
        <v>#DIV/0!</v>
      </c>
      <c r="D11" s="16" t="e">
        <f t="shared" ref="D11:G11" si="1">ROUND(365/D9*D10, 2)</f>
        <v>#DIV/0!</v>
      </c>
      <c r="E11" s="16" t="e">
        <f t="shared" si="1"/>
        <v>#DIV/0!</v>
      </c>
      <c r="F11" s="16" t="e">
        <f t="shared" si="1"/>
        <v>#DIV/0!</v>
      </c>
      <c r="G11" s="16" t="e">
        <f t="shared" si="1"/>
        <v>#DIV/0!</v>
      </c>
    </row>
    <row r="12" spans="2:7" ht="18.75" x14ac:dyDescent="0.25">
      <c r="B12" s="17" t="s">
        <v>198</v>
      </c>
      <c r="C12" s="28" t="e">
        <f>ROUND(C11+C8, 2)</f>
        <v>#DIV/0!</v>
      </c>
      <c r="D12" s="28" t="e">
        <f t="shared" ref="D12:G12" si="2">ROUND(D11+D8, 2)</f>
        <v>#DIV/0!</v>
      </c>
      <c r="E12" s="28" t="e">
        <f t="shared" si="2"/>
        <v>#DIV/0!</v>
      </c>
      <c r="F12" s="28" t="e">
        <f t="shared" si="2"/>
        <v>#DIV/0!</v>
      </c>
      <c r="G12" s="28" t="e">
        <f t="shared" si="2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E925F3-511F-4AC7-A204-375EBD2A7A16}">
  <dimension ref="B3:G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199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12336.56</v>
      </c>
      <c r="D6" s="16">
        <f>'Income Statement'!D5</f>
        <v>18397.29</v>
      </c>
      <c r="E6" s="16">
        <f>'Income Statement'!E5</f>
        <v>26223.07</v>
      </c>
      <c r="F6" s="16">
        <f>'Income Statement'!F5</f>
        <v>26504.52</v>
      </c>
      <c r="G6" s="16">
        <f>'Income Statement'!G5</f>
        <v>30739.15</v>
      </c>
    </row>
    <row r="7" spans="2:7" ht="18.75" x14ac:dyDescent="0.25">
      <c r="B7" s="15" t="str">
        <f>'Balance Sheet'!B36</f>
        <v>Inventories</v>
      </c>
      <c r="C7" s="16">
        <f>'Balance Sheet'!C36</f>
        <v>0</v>
      </c>
      <c r="D7" s="16">
        <f>'Balance Sheet'!D36</f>
        <v>0</v>
      </c>
      <c r="E7" s="16">
        <f>'Balance Sheet'!E36</f>
        <v>0</v>
      </c>
      <c r="F7" s="16">
        <f>'Balance Sheet'!F36</f>
        <v>0</v>
      </c>
      <c r="G7" s="16">
        <f>'Balance Sheet'!G36</f>
        <v>0</v>
      </c>
    </row>
    <row r="8" spans="2:7" ht="18.75" x14ac:dyDescent="0.25">
      <c r="B8" s="15" t="s">
        <v>192</v>
      </c>
      <c r="C8" s="16">
        <f>ROUND(365/C6*C7, 2)</f>
        <v>0</v>
      </c>
      <c r="D8" s="16">
        <f t="shared" ref="D8:G8" si="0">ROUND(365/D6*D7, 2)</f>
        <v>0</v>
      </c>
      <c r="E8" s="16">
        <f t="shared" si="0"/>
        <v>0</v>
      </c>
      <c r="F8" s="16">
        <f t="shared" si="0"/>
        <v>0</v>
      </c>
      <c r="G8" s="16">
        <f t="shared" si="0"/>
        <v>0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0</v>
      </c>
      <c r="D9" s="16">
        <f>'Income Statement'!D11</f>
        <v>0</v>
      </c>
      <c r="E9" s="16">
        <f>'Income Statement'!E11</f>
        <v>0</v>
      </c>
      <c r="F9" s="16">
        <f>'Income Statement'!F11</f>
        <v>0</v>
      </c>
      <c r="G9" s="16">
        <f>'Income Statement'!G11</f>
        <v>0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13625.27</v>
      </c>
      <c r="D10" s="16">
        <f>'Balance Sheet'!D19</f>
        <v>2947.6400000000003</v>
      </c>
      <c r="E10" s="16">
        <f>'Balance Sheet'!E19</f>
        <v>2257.0699999999997</v>
      </c>
      <c r="F10" s="16">
        <f>'Balance Sheet'!F19</f>
        <v>2963.08</v>
      </c>
      <c r="G10" s="16">
        <f>'Balance Sheet'!G19</f>
        <v>83629.59</v>
      </c>
    </row>
    <row r="11" spans="2:7" ht="18.75" x14ac:dyDescent="0.25">
      <c r="B11" s="15" t="s">
        <v>194</v>
      </c>
      <c r="C11" s="16" t="e">
        <f>ROUND(365/C9*C10, 2)</f>
        <v>#DIV/0!</v>
      </c>
      <c r="D11" s="16" t="e">
        <f t="shared" ref="D11:G11" si="1">ROUND(365/D9*D10, 2)</f>
        <v>#DIV/0!</v>
      </c>
      <c r="E11" s="16" t="e">
        <f t="shared" si="1"/>
        <v>#DIV/0!</v>
      </c>
      <c r="F11" s="16" t="e">
        <f t="shared" si="1"/>
        <v>#DIV/0!</v>
      </c>
      <c r="G11" s="16" t="e">
        <f t="shared" si="1"/>
        <v>#DIV/0!</v>
      </c>
    </row>
    <row r="12" spans="2:7" ht="18.75" x14ac:dyDescent="0.25">
      <c r="B12" s="15" t="s">
        <v>200</v>
      </c>
      <c r="C12" s="16" t="e">
        <f>ROUND(C11+C8, 2)</f>
        <v>#DIV/0!</v>
      </c>
      <c r="D12" s="16" t="e">
        <f t="shared" ref="D12:G12" si="2">ROUND(D11+D8, 2)</f>
        <v>#DIV/0!</v>
      </c>
      <c r="E12" s="16" t="e">
        <f t="shared" si="2"/>
        <v>#DIV/0!</v>
      </c>
      <c r="F12" s="16" t="e">
        <f t="shared" si="2"/>
        <v>#DIV/0!</v>
      </c>
      <c r="G12" s="16" t="e">
        <f t="shared" si="2"/>
        <v>#DIV/0!</v>
      </c>
    </row>
    <row r="13" spans="2:7" ht="18.75" x14ac:dyDescent="0.25">
      <c r="B13" s="15" t="str">
        <f>'Income Statement'!B11</f>
        <v>Cost Of Materials Consumed</v>
      </c>
      <c r="C13" s="16">
        <f>'Income Statement'!C11</f>
        <v>0</v>
      </c>
      <c r="D13" s="16">
        <f>'Income Statement'!D11</f>
        <v>0</v>
      </c>
      <c r="E13" s="16">
        <f>'Income Statement'!E11</f>
        <v>0</v>
      </c>
      <c r="F13" s="16">
        <f>'Income Statement'!F11</f>
        <v>0</v>
      </c>
      <c r="G13" s="16">
        <f>'Income Statement'!G11</f>
        <v>0</v>
      </c>
    </row>
    <row r="14" spans="2:7" ht="18.75" x14ac:dyDescent="0.25">
      <c r="B14" s="15" t="str">
        <f>'Balance Sheet'!B19</f>
        <v>Total Current Liabilities</v>
      </c>
      <c r="C14" s="16">
        <f>'Balance Sheet'!C19</f>
        <v>13625.27</v>
      </c>
      <c r="D14" s="16">
        <f>'Balance Sheet'!D19</f>
        <v>2947.6400000000003</v>
      </c>
      <c r="E14" s="16">
        <f>'Balance Sheet'!E19</f>
        <v>2257.0699999999997</v>
      </c>
      <c r="F14" s="16">
        <f>'Balance Sheet'!F19</f>
        <v>2963.08</v>
      </c>
      <c r="G14" s="16">
        <f>'Balance Sheet'!G19</f>
        <v>83629.59</v>
      </c>
    </row>
    <row r="15" spans="2:7" ht="18.75" x14ac:dyDescent="0.25">
      <c r="B15" s="15" t="s">
        <v>194</v>
      </c>
      <c r="C15" s="16" t="e">
        <f>ROUND(365/C13*C14, 2)</f>
        <v>#DIV/0!</v>
      </c>
      <c r="D15" s="16" t="e">
        <f t="shared" ref="D15:G15" si="3">ROUND(365/D13*D14, 2)</f>
        <v>#DIV/0!</v>
      </c>
      <c r="E15" s="16" t="e">
        <f t="shared" si="3"/>
        <v>#DIV/0!</v>
      </c>
      <c r="F15" s="16" t="e">
        <f t="shared" si="3"/>
        <v>#DIV/0!</v>
      </c>
      <c r="G15" s="16" t="e">
        <f t="shared" si="3"/>
        <v>#DIV/0!</v>
      </c>
    </row>
    <row r="16" spans="2:7" ht="18.75" x14ac:dyDescent="0.25">
      <c r="B16" s="17" t="s">
        <v>201</v>
      </c>
      <c r="C16" s="28" t="e">
        <f>ROUND(C15-C12, 2)</f>
        <v>#DIV/0!</v>
      </c>
      <c r="D16" s="28" t="e">
        <f t="shared" ref="D16:G16" si="4">ROUND(D15-D12, 2)</f>
        <v>#DIV/0!</v>
      </c>
      <c r="E16" s="28" t="e">
        <f t="shared" si="4"/>
        <v>#DIV/0!</v>
      </c>
      <c r="F16" s="28" t="e">
        <f t="shared" si="4"/>
        <v>#DIV/0!</v>
      </c>
      <c r="G16" s="28" t="e">
        <f t="shared" si="4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93652-66C7-4163-8734-0CAA47EDADD6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Sheet'!B9</f>
        <v>Net Worth</v>
      </c>
      <c r="C5" s="16">
        <f>'Balance Sheet'!C9</f>
        <v>16545.649999999998</v>
      </c>
      <c r="D5" s="16">
        <f>'Balance Sheet'!D9</f>
        <v>21673.77</v>
      </c>
      <c r="E5" s="16">
        <f>'Balance Sheet'!E9</f>
        <v>29576.09</v>
      </c>
      <c r="F5" s="16">
        <f>'Balance Sheet'!F9</f>
        <v>39801.24</v>
      </c>
      <c r="G5" s="16">
        <f>'Balance Sheet'!G9</f>
        <v>50739.94</v>
      </c>
    </row>
    <row r="6" spans="2:7" ht="18.75" x14ac:dyDescent="0.25">
      <c r="B6" s="15" t="str">
        <f>'Balance Sheet'!B21</f>
        <v>Total Liabilities</v>
      </c>
      <c r="C6" s="16">
        <f>'Balance Sheet'!C21</f>
        <v>86824.34</v>
      </c>
      <c r="D6" s="16">
        <f>'Balance Sheet'!D21</f>
        <v>126209.26000000001</v>
      </c>
      <c r="E6" s="16">
        <f>'Balance Sheet'!E21</f>
        <v>161639.59</v>
      </c>
      <c r="F6" s="16">
        <f>'Balance Sheet'!F21</f>
        <v>174409.69999999998</v>
      </c>
      <c r="G6" s="16">
        <f>'Balance Sheet'!G21</f>
        <v>219532.61000000002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65810-D0D1-44D0-BDD1-557E33185D99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3" width="11.5703125" bestFit="1" customWidth="1"/>
    <col min="4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Statement'!B17</f>
        <v>PBDIT</v>
      </c>
      <c r="C5" s="16">
        <f>'Income Statement'!C17</f>
        <v>8772.3100000000013</v>
      </c>
      <c r="D5" s="16">
        <f>'Income Statement'!D17</f>
        <v>14358.370000000003</v>
      </c>
      <c r="E5" s="16">
        <f>'Income Statement'!E17</f>
        <v>20868.739999999998</v>
      </c>
      <c r="F5" s="16">
        <f>'Income Statement'!F17</f>
        <v>21536.53</v>
      </c>
      <c r="G5" s="16">
        <f>'Income Statement'!G17</f>
        <v>23546.720000000001</v>
      </c>
    </row>
    <row r="6" spans="2:7" ht="18.75" x14ac:dyDescent="0.25">
      <c r="B6" s="15" t="str">
        <f>'Income Statement'!B19</f>
        <v>PBIT</v>
      </c>
      <c r="C6" s="16">
        <f>'Income Statement'!C19</f>
        <v>8670.2400000000016</v>
      </c>
      <c r="D6" s="16">
        <f>'Income Statement'!D19</f>
        <v>14214.220000000003</v>
      </c>
      <c r="E6" s="16">
        <f>'Income Statement'!E19</f>
        <v>20574.109999999997</v>
      </c>
      <c r="F6" s="16">
        <f>'Income Statement'!F19</f>
        <v>21211.26</v>
      </c>
      <c r="G6" s="16">
        <f>'Income Statement'!G19</f>
        <v>23162.15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B311C-4AB8-4B14-AA30-4E9E3D9F9038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Sheet'!B39</f>
        <v>Total Current Assets</v>
      </c>
      <c r="C5" s="16">
        <f>'Balance Sheet'!C39</f>
        <v>83208.11</v>
      </c>
      <c r="D5" s="16">
        <f>'Balance Sheet'!D39</f>
        <v>117062.81000000003</v>
      </c>
      <c r="E5" s="16">
        <f>'Balance Sheet'!E39</f>
        <v>143216.75</v>
      </c>
      <c r="F5" s="16">
        <f>'Balance Sheet'!F39</f>
        <v>155457.34</v>
      </c>
      <c r="G5" s="16">
        <f>'Balance Sheet'!G39</f>
        <v>206688.52000000005</v>
      </c>
    </row>
    <row r="6" spans="2:7" ht="18.75" x14ac:dyDescent="0.25">
      <c r="B6" s="15" t="str">
        <f>'Balance Sheet'!B19</f>
        <v>Total Current Liabilities</v>
      </c>
      <c r="C6" s="16">
        <f>'Balance Sheet'!C19</f>
        <v>13625.27</v>
      </c>
      <c r="D6" s="16">
        <f>'Balance Sheet'!D19</f>
        <v>2947.6400000000003</v>
      </c>
      <c r="E6" s="16">
        <f>'Balance Sheet'!E19</f>
        <v>2257.0699999999997</v>
      </c>
      <c r="F6" s="16">
        <f>'Balance Sheet'!F19</f>
        <v>2963.08</v>
      </c>
      <c r="G6" s="16">
        <f>'Balance Sheet'!G19</f>
        <v>83629.59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7EC68E-35B9-4DAF-97EC-2897AB902EE6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3" width="11.5703125" bestFit="1" customWidth="1"/>
    <col min="4" max="5" width="8.42578125" bestFit="1" customWidth="1"/>
    <col min="6" max="7" width="10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Sheet'!B14</f>
        <v>Long Term Provisions</v>
      </c>
      <c r="C5" s="16">
        <f>'Balance Sheet'!C14</f>
        <v>1136.3399999999999</v>
      </c>
      <c r="D5" s="16">
        <f>'Balance Sheet'!D14</f>
        <v>73.89</v>
      </c>
      <c r="E5" s="16">
        <f>'Balance Sheet'!E14</f>
        <v>81</v>
      </c>
      <c r="F5" s="16">
        <f>'Balance Sheet'!F14</f>
        <v>137.69</v>
      </c>
      <c r="G5" s="16">
        <f>'Balance Sheet'!G14</f>
        <v>166.9</v>
      </c>
    </row>
    <row r="6" spans="2:7" ht="18.75" x14ac:dyDescent="0.25">
      <c r="B6" s="15" t="str">
        <f>'Balance Sheet'!B15</f>
        <v>Short Term Provisions</v>
      </c>
      <c r="C6" s="16">
        <f>'Balance Sheet'!C15</f>
        <v>191</v>
      </c>
      <c r="D6" s="16">
        <f>'Balance Sheet'!D15</f>
        <v>0</v>
      </c>
      <c r="E6" s="16">
        <f>'Balance Sheet'!E15</f>
        <v>0</v>
      </c>
      <c r="F6" s="16">
        <f>'Balance Sheet'!F15</f>
        <v>0</v>
      </c>
      <c r="G6" s="16">
        <f>'Balance Sheet'!G15</f>
        <v>0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5A7A0-4823-43FC-8537-76EA0A639CEC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3" width="8.140625" bestFit="1" customWidth="1"/>
    <col min="4" max="4" width="10.28515625" bestFit="1" customWidth="1"/>
    <col min="5" max="6" width="11.85546875" bestFit="1" customWidth="1"/>
    <col min="7" max="7" width="8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Statement'!B11</f>
        <v>Cost Of Materials Consumed</v>
      </c>
      <c r="C5" s="16">
        <f>'Income Statement'!C11</f>
        <v>0</v>
      </c>
      <c r="D5" s="16">
        <f>'Income Statement'!D11</f>
        <v>0</v>
      </c>
      <c r="E5" s="16">
        <f>'Income Statement'!E11</f>
        <v>0</v>
      </c>
      <c r="F5" s="16">
        <f>'Income Statement'!F11</f>
        <v>0</v>
      </c>
      <c r="G5" s="16">
        <f>'Income Statement'!G11</f>
        <v>0</v>
      </c>
    </row>
    <row r="6" spans="2:7" ht="18.75" x14ac:dyDescent="0.25">
      <c r="B6" s="15" t="str">
        <f>'Income Statement'!B12</f>
        <v>Operating And Direct Expenses</v>
      </c>
      <c r="C6" s="16">
        <f>'Income Statement'!C12</f>
        <v>0</v>
      </c>
      <c r="D6" s="16">
        <f>'Income Statement'!D12</f>
        <v>712.88</v>
      </c>
      <c r="E6" s="16">
        <f>'Income Statement'!E12</f>
        <v>1056.3699999999999</v>
      </c>
      <c r="F6" s="16">
        <f>'Income Statement'!F12</f>
        <v>1246.48</v>
      </c>
      <c r="G6" s="16">
        <f>'Income Statement'!G12</f>
        <v>0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C32B0-7762-40EA-BBF6-5096651D33D6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Statement'!B5</f>
        <v>Gross Sales</v>
      </c>
      <c r="C5" s="16">
        <f>'Income Statement'!C5</f>
        <v>12336.56</v>
      </c>
      <c r="D5" s="16">
        <f>'Income Statement'!D5</f>
        <v>18397.29</v>
      </c>
      <c r="E5" s="16">
        <f>'Income Statement'!E5</f>
        <v>26223.07</v>
      </c>
      <c r="F5" s="16">
        <f>'Income Statement'!F5</f>
        <v>26504.52</v>
      </c>
      <c r="G5" s="16">
        <f>'Income Statement'!G5</f>
        <v>30739.15</v>
      </c>
    </row>
    <row r="6" spans="2:7" ht="18.75" x14ac:dyDescent="0.25">
      <c r="B6" s="15" t="str">
        <f>'Income Statement'!B10</f>
        <v>Total Income</v>
      </c>
      <c r="C6" s="16">
        <f>'Income Statement'!C10</f>
        <v>12360.43</v>
      </c>
      <c r="D6" s="16">
        <f>'Income Statement'!D10</f>
        <v>18410.330000000002</v>
      </c>
      <c r="E6" s="16">
        <f>'Income Statement'!E10</f>
        <v>26234.94</v>
      </c>
      <c r="F6" s="16">
        <f>'Income Statement'!F10</f>
        <v>26519.47</v>
      </c>
      <c r="G6" s="16">
        <f>'Income Statement'!G10</f>
        <v>30747.140000000003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BBFB7-DE07-4B98-8519-4A747BA74ACD}">
  <dimension ref="B3:G40"/>
  <sheetViews>
    <sheetView showGridLines="0" topLeftCell="A30" workbookViewId="0">
      <selection activeCell="D38" sqref="D38:G38"/>
    </sheetView>
  </sheetViews>
  <sheetFormatPr defaultRowHeight="15" x14ac:dyDescent="0.25"/>
  <cols>
    <col min="2" max="2" width="46" bestFit="1" customWidth="1"/>
    <col min="3" max="3" width="15.42578125" bestFit="1" customWidth="1"/>
    <col min="4" max="7" width="17.140625" bestFit="1" customWidth="1"/>
  </cols>
  <sheetData>
    <row r="3" spans="2:7" ht="18.75" x14ac:dyDescent="0.25">
      <c r="B3" s="10" t="s">
        <v>128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5</v>
      </c>
      <c r="C5" s="4">
        <v>115.03</v>
      </c>
      <c r="D5" s="4">
        <v>115.37</v>
      </c>
      <c r="E5" s="4">
        <v>119.99</v>
      </c>
      <c r="F5" s="4">
        <v>120.32</v>
      </c>
      <c r="G5" s="4">
        <v>120.66</v>
      </c>
    </row>
    <row r="6" spans="2:7" ht="18.75" x14ac:dyDescent="0.25">
      <c r="B6" s="8" t="s">
        <v>121</v>
      </c>
      <c r="C6" s="4"/>
      <c r="D6" s="4"/>
      <c r="E6" s="4"/>
      <c r="F6" s="4"/>
      <c r="G6" s="4"/>
    </row>
    <row r="7" spans="2:7" ht="18.75" x14ac:dyDescent="0.25">
      <c r="B7" s="9" t="s">
        <v>6</v>
      </c>
      <c r="C7" s="6">
        <f>C5+C6</f>
        <v>115.03</v>
      </c>
      <c r="D7" s="6">
        <f t="shared" ref="D7:G7" si="0">D5+D6</f>
        <v>115.37</v>
      </c>
      <c r="E7" s="6">
        <f t="shared" si="0"/>
        <v>119.99</v>
      </c>
      <c r="F7" s="6">
        <f t="shared" si="0"/>
        <v>120.32</v>
      </c>
      <c r="G7" s="6">
        <f t="shared" si="0"/>
        <v>120.66</v>
      </c>
    </row>
    <row r="8" spans="2:7" ht="18.75" x14ac:dyDescent="0.25">
      <c r="B8" s="8" t="s">
        <v>7</v>
      </c>
      <c r="C8" s="5">
        <v>16430.62</v>
      </c>
      <c r="D8" s="5">
        <f>'Income Statement'!D30+C8</f>
        <v>21558.400000000001</v>
      </c>
      <c r="E8" s="5">
        <f>'Income Statement'!E30+D8</f>
        <v>29456.1</v>
      </c>
      <c r="F8" s="5">
        <f>'Income Statement'!F30+E8</f>
        <v>39680.92</v>
      </c>
      <c r="G8" s="5">
        <f>'Income Statement'!G30+F8</f>
        <v>50619.28</v>
      </c>
    </row>
    <row r="9" spans="2:7" ht="18.75" x14ac:dyDescent="0.25">
      <c r="B9" s="9" t="s">
        <v>122</v>
      </c>
      <c r="C9" s="7">
        <f>C7+C8</f>
        <v>16545.649999999998</v>
      </c>
      <c r="D9" s="7">
        <f t="shared" ref="D9:G9" si="1">D7+D8</f>
        <v>21673.77</v>
      </c>
      <c r="E9" s="7">
        <f t="shared" si="1"/>
        <v>29576.09</v>
      </c>
      <c r="F9" s="7">
        <f t="shared" si="1"/>
        <v>39801.24</v>
      </c>
      <c r="G9" s="7">
        <f t="shared" si="1"/>
        <v>50739.94</v>
      </c>
    </row>
    <row r="10" spans="2:7" ht="18.75" x14ac:dyDescent="0.25">
      <c r="B10" s="8" t="s">
        <v>12</v>
      </c>
      <c r="C10" s="4">
        <v>45896.31</v>
      </c>
      <c r="D10" s="5">
        <v>64013.41</v>
      </c>
      <c r="E10" s="5">
        <v>75106.259999999995</v>
      </c>
      <c r="F10" s="5">
        <v>84204.18</v>
      </c>
      <c r="G10" s="5">
        <v>0</v>
      </c>
    </row>
    <row r="11" spans="2:7" ht="18.75" x14ac:dyDescent="0.25">
      <c r="B11" s="8" t="s">
        <v>13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</row>
    <row r="12" spans="2:7" ht="18.75" x14ac:dyDescent="0.25">
      <c r="B12" s="8" t="s">
        <v>18</v>
      </c>
      <c r="C12" s="5">
        <v>10757.11</v>
      </c>
      <c r="D12" s="5">
        <v>37574.44</v>
      </c>
      <c r="E12" s="5">
        <v>54700.17</v>
      </c>
      <c r="F12" s="5">
        <v>47441.2</v>
      </c>
      <c r="G12" s="5">
        <v>85163.08</v>
      </c>
    </row>
    <row r="13" spans="2:7" ht="18.75" x14ac:dyDescent="0.25">
      <c r="B13" s="9" t="s">
        <v>123</v>
      </c>
      <c r="C13" s="7">
        <f>C10+C11+C12</f>
        <v>56653.42</v>
      </c>
      <c r="D13" s="7">
        <f t="shared" ref="D13:G13" si="2">D10+D11+D12</f>
        <v>101587.85</v>
      </c>
      <c r="E13" s="7">
        <f t="shared" si="2"/>
        <v>129806.43</v>
      </c>
      <c r="F13" s="7">
        <f t="shared" si="2"/>
        <v>131645.38</v>
      </c>
      <c r="G13" s="7">
        <f t="shared" si="2"/>
        <v>85163.08</v>
      </c>
    </row>
    <row r="14" spans="2:7" ht="18.75" x14ac:dyDescent="0.25">
      <c r="B14" s="8" t="s">
        <v>15</v>
      </c>
      <c r="C14" s="4">
        <v>1136.3399999999999</v>
      </c>
      <c r="D14" s="4">
        <v>73.89</v>
      </c>
      <c r="E14" s="4">
        <v>81</v>
      </c>
      <c r="F14" s="4">
        <v>137.69</v>
      </c>
      <c r="G14" s="5">
        <v>166.9</v>
      </c>
    </row>
    <row r="15" spans="2:7" ht="18.75" x14ac:dyDescent="0.25">
      <c r="B15" s="8" t="s">
        <v>21</v>
      </c>
      <c r="C15" s="4">
        <v>191</v>
      </c>
      <c r="D15" s="4">
        <v>0</v>
      </c>
      <c r="E15" s="4">
        <v>0</v>
      </c>
      <c r="F15" s="4">
        <v>0</v>
      </c>
      <c r="G15" s="4">
        <v>0</v>
      </c>
    </row>
    <row r="16" spans="2:7" ht="18.75" x14ac:dyDescent="0.25">
      <c r="B16" s="8" t="s">
        <v>14</v>
      </c>
      <c r="C16" s="4">
        <v>500.21</v>
      </c>
      <c r="D16" s="4">
        <v>358.06</v>
      </c>
      <c r="E16" s="4">
        <v>471.26</v>
      </c>
      <c r="F16" s="4">
        <v>687.06</v>
      </c>
      <c r="G16" s="4">
        <v>632.29999999999995</v>
      </c>
    </row>
    <row r="17" spans="2:7" ht="18.75" x14ac:dyDescent="0.25">
      <c r="B17" s="8" t="s">
        <v>19</v>
      </c>
      <c r="C17" s="5">
        <v>460.79</v>
      </c>
      <c r="D17" s="5">
        <v>811.54</v>
      </c>
      <c r="E17" s="4">
        <v>959.81</v>
      </c>
      <c r="F17" s="4">
        <v>1108.68</v>
      </c>
      <c r="G17" s="4">
        <v>81579.94</v>
      </c>
    </row>
    <row r="18" spans="2:7" ht="18.75" x14ac:dyDescent="0.25">
      <c r="B18" s="8" t="s">
        <v>20</v>
      </c>
      <c r="C18" s="5">
        <v>11336.93</v>
      </c>
      <c r="D18" s="5">
        <v>1704.15</v>
      </c>
      <c r="E18" s="4">
        <v>745</v>
      </c>
      <c r="F18" s="5">
        <v>1029.6500000000001</v>
      </c>
      <c r="G18" s="5">
        <v>1250.45</v>
      </c>
    </row>
    <row r="19" spans="2:7" ht="18.75" x14ac:dyDescent="0.25">
      <c r="B19" s="9" t="s">
        <v>22</v>
      </c>
      <c r="C19" s="7">
        <f>C14+C15+C16+C17+C18</f>
        <v>13625.27</v>
      </c>
      <c r="D19" s="7">
        <f t="shared" ref="D19:G19" si="3">D14+D15+D16+D17+D18</f>
        <v>2947.6400000000003</v>
      </c>
      <c r="E19" s="7">
        <f t="shared" si="3"/>
        <v>2257.0699999999997</v>
      </c>
      <c r="F19" s="7">
        <f t="shared" si="3"/>
        <v>2963.08</v>
      </c>
      <c r="G19" s="7">
        <f t="shared" si="3"/>
        <v>83629.59</v>
      </c>
    </row>
    <row r="20" spans="2:7" ht="18.75" x14ac:dyDescent="0.25">
      <c r="B20" s="8" t="s">
        <v>10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</row>
    <row r="21" spans="2:7" ht="18.75" x14ac:dyDescent="0.25">
      <c r="B21" s="9" t="s">
        <v>124</v>
      </c>
      <c r="C21" s="7">
        <f>C9+C13+C19+C20</f>
        <v>86824.34</v>
      </c>
      <c r="D21" s="7">
        <f t="shared" ref="D21:G21" si="4">D9+D13+D19+D20</f>
        <v>126209.26000000001</v>
      </c>
      <c r="E21" s="7">
        <f t="shared" si="4"/>
        <v>161639.59</v>
      </c>
      <c r="F21" s="7">
        <f t="shared" si="4"/>
        <v>174409.69999999998</v>
      </c>
      <c r="G21" s="7">
        <f t="shared" si="4"/>
        <v>219532.61000000002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346.15</v>
      </c>
      <c r="D23" s="5">
        <v>526.51</v>
      </c>
      <c r="E23" s="5">
        <v>1097.26</v>
      </c>
      <c r="F23" s="4">
        <v>1041.69</v>
      </c>
      <c r="G23" s="4">
        <v>1747.17</v>
      </c>
    </row>
    <row r="24" spans="2:7" ht="18.75" x14ac:dyDescent="0.25">
      <c r="B24" s="8" t="s">
        <v>27</v>
      </c>
      <c r="C24" s="4">
        <v>120.84</v>
      </c>
      <c r="D24" s="4">
        <v>165.06</v>
      </c>
      <c r="E24" s="4">
        <v>220.46</v>
      </c>
      <c r="F24" s="4">
        <v>270.74</v>
      </c>
      <c r="G24" s="4">
        <v>0</v>
      </c>
    </row>
    <row r="25" spans="2:7" ht="18.75" x14ac:dyDescent="0.25">
      <c r="B25" s="8" t="s">
        <v>125</v>
      </c>
      <c r="C25" s="4"/>
      <c r="D25" s="4">
        <f>'Income Statement'!D18</f>
        <v>144.15</v>
      </c>
      <c r="E25" s="4">
        <f>'Income Statement'!E18+D25</f>
        <v>438.78</v>
      </c>
      <c r="F25" s="4">
        <f>'Income Statement'!F18+E25</f>
        <v>764.05</v>
      </c>
      <c r="G25" s="4">
        <f>'Income Statement'!G18+F25</f>
        <v>1148.6199999999999</v>
      </c>
    </row>
    <row r="26" spans="2:7" ht="18.75" x14ac:dyDescent="0.25">
      <c r="B26" s="9" t="s">
        <v>126</v>
      </c>
      <c r="C26" s="7">
        <f>C23+C24-C25</f>
        <v>466.99</v>
      </c>
      <c r="D26" s="7">
        <f t="shared" ref="D26:G26" si="5">D23+D24-D25</f>
        <v>547.41999999999996</v>
      </c>
      <c r="E26" s="7">
        <f t="shared" si="5"/>
        <v>878.94</v>
      </c>
      <c r="F26" s="7">
        <f t="shared" si="5"/>
        <v>548.38000000000011</v>
      </c>
      <c r="G26" s="7">
        <f t="shared" si="5"/>
        <v>598.55000000000018</v>
      </c>
    </row>
    <row r="27" spans="2:7" ht="18.75" x14ac:dyDescent="0.25">
      <c r="B27" s="8" t="s">
        <v>30</v>
      </c>
      <c r="C27" s="4">
        <v>837.58</v>
      </c>
      <c r="D27" s="4">
        <v>0</v>
      </c>
      <c r="E27" s="4">
        <v>0</v>
      </c>
      <c r="F27" s="4">
        <v>0</v>
      </c>
      <c r="G27" s="4">
        <v>0</v>
      </c>
    </row>
    <row r="28" spans="2:7" ht="18.75" x14ac:dyDescent="0.25">
      <c r="B28" s="8" t="s">
        <v>36</v>
      </c>
      <c r="C28" s="5">
        <v>2308.39</v>
      </c>
      <c r="D28" s="5">
        <v>8599.0300000000007</v>
      </c>
      <c r="E28" s="5">
        <v>17543.900000000001</v>
      </c>
      <c r="F28" s="5">
        <v>18396.91</v>
      </c>
      <c r="G28" s="5">
        <v>12245.54</v>
      </c>
    </row>
    <row r="29" spans="2:7" ht="18.75" x14ac:dyDescent="0.25">
      <c r="B29" s="8" t="s">
        <v>28</v>
      </c>
      <c r="C29" s="4">
        <v>3.27</v>
      </c>
      <c r="D29" s="4">
        <v>0</v>
      </c>
      <c r="E29" s="4">
        <v>0</v>
      </c>
      <c r="F29" s="4">
        <v>7.07</v>
      </c>
      <c r="G29" s="4">
        <v>0</v>
      </c>
    </row>
    <row r="30" spans="2:7" ht="18.75" x14ac:dyDescent="0.25">
      <c r="B30" s="9" t="s">
        <v>127</v>
      </c>
      <c r="C30" s="7">
        <f>C26+C27+C28+C29</f>
        <v>3616.23</v>
      </c>
      <c r="D30" s="7">
        <f t="shared" ref="D30:G30" si="6">D26+D27+D28+D29</f>
        <v>9146.4500000000007</v>
      </c>
      <c r="E30" s="7">
        <f t="shared" si="6"/>
        <v>18422.84</v>
      </c>
      <c r="F30" s="7">
        <f t="shared" si="6"/>
        <v>18952.36</v>
      </c>
      <c r="G30" s="7">
        <f t="shared" si="6"/>
        <v>12844.09</v>
      </c>
    </row>
    <row r="31" spans="2:7" ht="18.75" x14ac:dyDescent="0.25">
      <c r="B31" s="8" t="s">
        <v>31</v>
      </c>
      <c r="C31" s="4">
        <v>386.41</v>
      </c>
      <c r="D31" s="4">
        <v>669.03</v>
      </c>
      <c r="E31" s="4">
        <v>850.13</v>
      </c>
      <c r="F31" s="4">
        <v>945.9</v>
      </c>
      <c r="G31" s="4">
        <v>951.11</v>
      </c>
    </row>
    <row r="32" spans="2:7" ht="18.75" x14ac:dyDescent="0.25">
      <c r="B32" s="8" t="s">
        <v>32</v>
      </c>
      <c r="C32" s="4">
        <v>81.55</v>
      </c>
      <c r="D32" s="4">
        <v>0</v>
      </c>
      <c r="E32" s="4">
        <v>0</v>
      </c>
      <c r="F32" s="4">
        <v>0</v>
      </c>
      <c r="G32" s="4">
        <v>0</v>
      </c>
    </row>
    <row r="33" spans="2:7" ht="18.75" x14ac:dyDescent="0.25">
      <c r="B33" s="8" t="s">
        <v>33</v>
      </c>
      <c r="C33" s="4">
        <v>47267.92</v>
      </c>
      <c r="D33" s="4">
        <v>209.43</v>
      </c>
      <c r="E33" s="4">
        <v>322.94</v>
      </c>
      <c r="F33" s="4">
        <v>309.83</v>
      </c>
      <c r="G33" s="5">
        <v>345.44</v>
      </c>
    </row>
    <row r="34" spans="2:7" ht="18.75" x14ac:dyDescent="0.25">
      <c r="B34" s="8" t="s">
        <v>40</v>
      </c>
      <c r="C34" s="5">
        <v>261.66000000000003</v>
      </c>
      <c r="D34" s="5">
        <v>112512.82</v>
      </c>
      <c r="E34" s="5">
        <v>141376.04999999999</v>
      </c>
      <c r="F34" s="5">
        <v>146686.87</v>
      </c>
      <c r="G34" s="4">
        <v>191423.25</v>
      </c>
    </row>
    <row r="35" spans="2:7" ht="18.75" x14ac:dyDescent="0.25">
      <c r="B35" s="8" t="s">
        <v>41</v>
      </c>
      <c r="C35" s="4">
        <v>538.92999999999995</v>
      </c>
      <c r="D35" s="4">
        <v>389.95</v>
      </c>
      <c r="E35" s="4">
        <v>641.84</v>
      </c>
      <c r="F35" s="4">
        <v>537.17999999999995</v>
      </c>
      <c r="G35" s="4">
        <v>843.39</v>
      </c>
    </row>
    <row r="36" spans="2:7" ht="18.75" x14ac:dyDescent="0.25">
      <c r="B36" s="8" t="s">
        <v>37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</row>
    <row r="37" spans="2:7" ht="18.75" x14ac:dyDescent="0.25">
      <c r="B37" s="8" t="s">
        <v>38</v>
      </c>
      <c r="C37" s="5">
        <v>34332.18</v>
      </c>
      <c r="D37" s="5">
        <v>808.7</v>
      </c>
      <c r="E37" s="4">
        <v>952.56</v>
      </c>
      <c r="F37" s="4">
        <v>1107.24</v>
      </c>
      <c r="G37" s="5">
        <v>1265.8900000000001</v>
      </c>
    </row>
    <row r="38" spans="2:7" ht="18.75" x14ac:dyDescent="0.25">
      <c r="B38" s="8" t="s">
        <v>39</v>
      </c>
      <c r="C38" s="5">
        <v>339.46</v>
      </c>
      <c r="D38" s="5">
        <f>'CashFlow Statement'!D48+C38</f>
        <v>2472.8800000000128</v>
      </c>
      <c r="E38" s="5">
        <f>'CashFlow Statement'!E48+D38</f>
        <v>-926.76999999998134</v>
      </c>
      <c r="F38" s="5">
        <f>'CashFlow Statement'!F48+E38</f>
        <v>5870.3200000000079</v>
      </c>
      <c r="G38" s="5">
        <f>'CashFlow Statement'!G48+F38</f>
        <v>11859.440000000024</v>
      </c>
    </row>
    <row r="39" spans="2:7" ht="18.75" x14ac:dyDescent="0.25">
      <c r="B39" s="9" t="s">
        <v>42</v>
      </c>
      <c r="C39" s="7">
        <f>C31+C32+C33+C34+C35+C36+C37+C38</f>
        <v>83208.11</v>
      </c>
      <c r="D39" s="7">
        <f t="shared" ref="D39:G39" si="7">D31+D32+D33+D34+D35+D36+D37+D38</f>
        <v>117062.81000000003</v>
      </c>
      <c r="E39" s="7">
        <f t="shared" si="7"/>
        <v>143216.75</v>
      </c>
      <c r="F39" s="7">
        <f t="shared" si="7"/>
        <v>155457.34</v>
      </c>
      <c r="G39" s="7">
        <f t="shared" si="7"/>
        <v>206688.52000000005</v>
      </c>
    </row>
    <row r="40" spans="2:7" ht="18.75" x14ac:dyDescent="0.25">
      <c r="B40" s="9" t="s">
        <v>43</v>
      </c>
      <c r="C40" s="7">
        <f>C30+C39</f>
        <v>86824.34</v>
      </c>
      <c r="D40" s="7">
        <f t="shared" ref="D40:G40" si="8">D30+D39</f>
        <v>126209.26000000002</v>
      </c>
      <c r="E40" s="7">
        <f t="shared" si="8"/>
        <v>161639.59</v>
      </c>
      <c r="F40" s="7">
        <f t="shared" si="8"/>
        <v>174409.7</v>
      </c>
      <c r="G40" s="7">
        <f t="shared" si="8"/>
        <v>219532.61000000004</v>
      </c>
    </row>
  </sheetData>
  <mergeCells count="1">
    <mergeCell ref="B3:G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0E407B-313F-4954-BD60-74A1B47BD51D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86824.34</v>
      </c>
      <c r="D5" s="16">
        <f>'Balance Sheet'!D21</f>
        <v>126209.26000000001</v>
      </c>
      <c r="E5" s="16">
        <f>'Balance Sheet'!E21</f>
        <v>161639.59</v>
      </c>
      <c r="F5" s="16">
        <f>'Balance Sheet'!F21</f>
        <v>174409.69999999998</v>
      </c>
      <c r="G5" s="16">
        <f>'Balance Sheet'!G21</f>
        <v>219532.61000000002</v>
      </c>
    </row>
    <row r="6" spans="2:7" ht="18.75" x14ac:dyDescent="0.25">
      <c r="B6" s="15" t="str">
        <f>'Balance Sheet'!B13</f>
        <v>Total Debt</v>
      </c>
      <c r="C6" s="16">
        <f>'Balance Sheet'!C13</f>
        <v>56653.42</v>
      </c>
      <c r="D6" s="16">
        <f>'Balance Sheet'!D13</f>
        <v>101587.85</v>
      </c>
      <c r="E6" s="16">
        <f>'Balance Sheet'!E13</f>
        <v>129806.43</v>
      </c>
      <c r="F6" s="16">
        <f>'Balance Sheet'!F13</f>
        <v>131645.38</v>
      </c>
      <c r="G6" s="16">
        <f>'Balance Sheet'!G13</f>
        <v>85163.08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B3FEA-99D1-4EF6-95BE-16D782F51EA7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86824.34</v>
      </c>
      <c r="D5" s="16">
        <f>'Balance Sheet'!D21</f>
        <v>126209.26000000001</v>
      </c>
      <c r="E5" s="16">
        <f>'Balance Sheet'!E21</f>
        <v>161639.59</v>
      </c>
      <c r="F5" s="16">
        <f>'Balance Sheet'!F21</f>
        <v>174409.69999999998</v>
      </c>
      <c r="G5" s="16">
        <f>'Balance Sheet'!G21</f>
        <v>219532.61000000002</v>
      </c>
    </row>
    <row r="6" spans="2:7" ht="18.75" x14ac:dyDescent="0.25">
      <c r="B6" s="15" t="str">
        <f>'Balance Sheet'!B19</f>
        <v>Total Current Liabilities</v>
      </c>
      <c r="C6" s="16">
        <f>'Balance Sheet'!C19</f>
        <v>13625.27</v>
      </c>
      <c r="D6" s="16">
        <f>'Balance Sheet'!D19</f>
        <v>2947.6400000000003</v>
      </c>
      <c r="E6" s="16">
        <f>'Balance Sheet'!E19</f>
        <v>2257.0699999999997</v>
      </c>
      <c r="F6" s="16">
        <f>'Balance Sheet'!F19</f>
        <v>2963.08</v>
      </c>
      <c r="G6" s="16">
        <f>'Balance Sheet'!G19</f>
        <v>83629.59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4AB8B5-A72A-4D22-ADD2-8FDC2508E2D2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86824.34</v>
      </c>
      <c r="D5" s="16">
        <f>'Balance Sheet'!D40</f>
        <v>126209.26000000002</v>
      </c>
      <c r="E5" s="16">
        <f>'Balance Sheet'!E40</f>
        <v>161639.59</v>
      </c>
      <c r="F5" s="16">
        <f>'Balance Sheet'!F40</f>
        <v>174409.7</v>
      </c>
      <c r="G5" s="16">
        <f>'Balance Sheet'!G40</f>
        <v>219532.61000000004</v>
      </c>
    </row>
    <row r="6" spans="2:7" ht="18.75" x14ac:dyDescent="0.25">
      <c r="B6" s="15" t="str">
        <f>'Balance Sheet'!B30</f>
        <v>Total Non Current Assets</v>
      </c>
      <c r="C6" s="16">
        <f>'Balance Sheet'!C30</f>
        <v>3616.23</v>
      </c>
      <c r="D6" s="16">
        <f>'Balance Sheet'!D30</f>
        <v>9146.4500000000007</v>
      </c>
      <c r="E6" s="16">
        <f>'Balance Sheet'!E30</f>
        <v>18422.84</v>
      </c>
      <c r="F6" s="16">
        <f>'Balance Sheet'!F30</f>
        <v>18952.36</v>
      </c>
      <c r="G6" s="16">
        <f>'Balance Sheet'!G30</f>
        <v>12844.09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706D82-7AF7-488E-B564-231479CC83B2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86824.34</v>
      </c>
      <c r="D5" s="16">
        <f>'Balance Sheet'!D40</f>
        <v>126209.26000000002</v>
      </c>
      <c r="E5" s="16">
        <f>'Balance Sheet'!E40</f>
        <v>161639.59</v>
      </c>
      <c r="F5" s="16">
        <f>'Balance Sheet'!F40</f>
        <v>174409.7</v>
      </c>
      <c r="G5" s="16">
        <f>'Balance Sheet'!G40</f>
        <v>219532.61000000004</v>
      </c>
    </row>
    <row r="6" spans="2:7" ht="18.75" x14ac:dyDescent="0.25">
      <c r="B6" s="15" t="str">
        <f>'Balance Sheet'!B39</f>
        <v>Total Current Assets</v>
      </c>
      <c r="C6" s="16">
        <f>'Balance Sheet'!C39</f>
        <v>83208.11</v>
      </c>
      <c r="D6" s="16">
        <f>'Balance Sheet'!D39</f>
        <v>117062.81000000003</v>
      </c>
      <c r="E6" s="16">
        <f>'Balance Sheet'!E39</f>
        <v>143216.75</v>
      </c>
      <c r="F6" s="16">
        <f>'Balance Sheet'!F39</f>
        <v>155457.34</v>
      </c>
      <c r="G6" s="16">
        <f>'Balance Sheet'!G39</f>
        <v>206688.52000000005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3AB74B-4662-4215-B390-CB83C16FE335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Statement'!B15</f>
        <v>Total Expenditure</v>
      </c>
      <c r="C5" s="16">
        <f>'Income Statement'!C15</f>
        <v>3588.12</v>
      </c>
      <c r="D5" s="16">
        <f>'Income Statement'!D15</f>
        <v>4051.96</v>
      </c>
      <c r="E5" s="16">
        <f>'Income Statement'!E15</f>
        <v>5366.2</v>
      </c>
      <c r="F5" s="16">
        <f>'Income Statement'!F15</f>
        <v>4982.9400000000005</v>
      </c>
      <c r="G5" s="16">
        <f>'Income Statement'!G15</f>
        <v>7200.42</v>
      </c>
    </row>
    <row r="6" spans="2:7" ht="18.75" x14ac:dyDescent="0.25">
      <c r="B6" s="15" t="str">
        <f>'Income Statement'!B10</f>
        <v>Total Income</v>
      </c>
      <c r="C6" s="16">
        <f>'Income Statement'!C10</f>
        <v>12360.43</v>
      </c>
      <c r="D6" s="16">
        <f>'Income Statement'!D10</f>
        <v>18410.330000000002</v>
      </c>
      <c r="E6" s="16">
        <f>'Income Statement'!E10</f>
        <v>26234.94</v>
      </c>
      <c r="F6" s="16">
        <f>'Income Statement'!F10</f>
        <v>26519.47</v>
      </c>
      <c r="G6" s="16">
        <f>'Income Statement'!G10</f>
        <v>30747.140000000003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BDD80-49E7-494C-B745-421F8905B124}">
  <dimension ref="B4:G6"/>
  <sheetViews>
    <sheetView showGridLines="0" tabSelected="1" workbookViewId="0">
      <selection activeCell="B4" sqref="B4"/>
    </sheetView>
  </sheetViews>
  <sheetFormatPr defaultRowHeight="15" x14ac:dyDescent="0.25"/>
  <cols>
    <col min="2" max="2" width="42.5703125" bestFit="1" customWidth="1"/>
    <col min="3" max="5" width="11.5703125" bestFit="1" customWidth="1"/>
    <col min="6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Statement'!B30</f>
        <v>Amount C\F to Balance Sheet</v>
      </c>
      <c r="C5" s="16">
        <f>'Income Statement'!C30</f>
        <v>2375.5600000000013</v>
      </c>
      <c r="D5" s="16">
        <f>'Income Statement'!D30</f>
        <v>5127.7800000000025</v>
      </c>
      <c r="E5" s="16">
        <f>'Income Statement'!E30</f>
        <v>7897.6999999999989</v>
      </c>
      <c r="F5" s="16">
        <f>'Income Statement'!F30</f>
        <v>10224.819999999998</v>
      </c>
      <c r="G5" s="16">
        <f>'Income Statement'!G30</f>
        <v>10938.36</v>
      </c>
    </row>
    <row r="6" spans="2:7" ht="18.75" x14ac:dyDescent="0.25">
      <c r="B6" s="15" t="str">
        <f>'Income Statement'!B27</f>
        <v>Reported Net Profit(PAT)</v>
      </c>
      <c r="C6" s="16">
        <f>'Income Statement'!C27</f>
        <v>2613.8200000000015</v>
      </c>
      <c r="D6" s="16">
        <f>'Income Statement'!D27</f>
        <v>5406.4900000000025</v>
      </c>
      <c r="E6" s="16">
        <f>'Income Statement'!E27</f>
        <v>9042.5299999999988</v>
      </c>
      <c r="F6" s="16">
        <f>'Income Statement'!F27</f>
        <v>10224.819999999998</v>
      </c>
      <c r="G6" s="16">
        <f>'Income Statement'!G27</f>
        <v>10938.36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267CA-F11C-4E39-931C-C4905492F041}">
  <dimension ref="B3:G48"/>
  <sheetViews>
    <sheetView showGridLines="0" topLeftCell="A34" workbookViewId="0">
      <selection activeCell="D48" sqref="D48:G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4" width="16.7109375" bestFit="1" customWidth="1"/>
    <col min="5" max="5" width="16.5703125" bestFit="1" customWidth="1"/>
    <col min="6" max="6" width="15.42578125" bestFit="1" customWidth="1"/>
    <col min="7" max="7" width="16.5703125" bestFit="1" customWidth="1"/>
  </cols>
  <sheetData>
    <row r="3" spans="2:7" ht="18.75" x14ac:dyDescent="0.25">
      <c r="B3" s="10" t="s">
        <v>143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129</v>
      </c>
      <c r="C5" s="4"/>
      <c r="D5" s="5">
        <f>'Income Statement'!D25</f>
        <v>7590.6600000000026</v>
      </c>
      <c r="E5" s="5">
        <f>'Income Statement'!E25</f>
        <v>11100.899999999998</v>
      </c>
      <c r="F5" s="5">
        <f>'Income Statement'!F25</f>
        <v>11797.259999999998</v>
      </c>
      <c r="G5" s="5">
        <f>'Income Statement'!G25</f>
        <v>13413.910000000002</v>
      </c>
    </row>
    <row r="6" spans="2:7" ht="18.75" x14ac:dyDescent="0.25">
      <c r="B6" s="8" t="s">
        <v>130</v>
      </c>
      <c r="C6" s="4"/>
      <c r="D6" s="4"/>
      <c r="E6" s="4"/>
      <c r="F6" s="4"/>
      <c r="G6" s="4"/>
    </row>
    <row r="7" spans="2:7" ht="18.75" x14ac:dyDescent="0.25">
      <c r="B7" s="8" t="s">
        <v>125</v>
      </c>
      <c r="C7" s="4"/>
      <c r="D7" s="4">
        <f>'Income Statement'!D18</f>
        <v>144.15</v>
      </c>
      <c r="E7" s="4">
        <f>'Income Statement'!E18</f>
        <v>294.63</v>
      </c>
      <c r="F7" s="4">
        <f>'Income Statement'!F18</f>
        <v>325.27</v>
      </c>
      <c r="G7" s="4">
        <f>'Income Statement'!G18</f>
        <v>384.57</v>
      </c>
    </row>
    <row r="8" spans="2:7" ht="18.75" x14ac:dyDescent="0.25">
      <c r="B8" s="8" t="s">
        <v>131</v>
      </c>
      <c r="C8" s="4"/>
      <c r="D8" s="5">
        <f>'Income Statement'!D20</f>
        <v>6623.56</v>
      </c>
      <c r="E8" s="5">
        <f>'Income Statement'!E20</f>
        <v>9473.2099999999991</v>
      </c>
      <c r="F8" s="5">
        <f>'Income Statement'!F20</f>
        <v>9414</v>
      </c>
      <c r="G8" s="5">
        <f>'Income Statement'!G20</f>
        <v>9748.24</v>
      </c>
    </row>
    <row r="9" spans="2:7" ht="18.75" x14ac:dyDescent="0.25">
      <c r="B9" s="8" t="s">
        <v>59</v>
      </c>
      <c r="C9" s="4"/>
      <c r="D9" s="4">
        <f>'Income Statement'!D8</f>
        <v>13.04</v>
      </c>
      <c r="E9" s="4">
        <f>'Income Statement'!E8</f>
        <v>11.87</v>
      </c>
      <c r="F9" s="4">
        <f>'Income Statement'!F8</f>
        <v>14.95</v>
      </c>
      <c r="G9" s="4">
        <f>'Income Statement'!G8</f>
        <v>7.99</v>
      </c>
    </row>
    <row r="10" spans="2:7" ht="18.75" x14ac:dyDescent="0.25">
      <c r="B10" s="9" t="s">
        <v>132</v>
      </c>
      <c r="C10" s="6"/>
      <c r="D10" s="7">
        <f>D7+D8-D9</f>
        <v>6754.67</v>
      </c>
      <c r="E10" s="7">
        <f t="shared" ref="E10:G10" si="0">E7+E8-E9</f>
        <v>9755.9699999999975</v>
      </c>
      <c r="F10" s="7">
        <f t="shared" si="0"/>
        <v>9724.32</v>
      </c>
      <c r="G10" s="7">
        <f t="shared" si="0"/>
        <v>10124.82</v>
      </c>
    </row>
    <row r="11" spans="2:7" ht="18.75" x14ac:dyDescent="0.25">
      <c r="B11" s="8" t="s">
        <v>133</v>
      </c>
      <c r="C11" s="4"/>
      <c r="D11" s="4"/>
      <c r="E11" s="4"/>
      <c r="F11" s="4"/>
      <c r="G11" s="4"/>
    </row>
    <row r="12" spans="2:7" ht="18.75" x14ac:dyDescent="0.25">
      <c r="B12" s="8" t="str">
        <f>'Balance Sheet'!B31</f>
        <v>Deferred Tax Assets [Net]</v>
      </c>
      <c r="C12" s="4"/>
      <c r="D12" s="4">
        <f>'Balance Sheet'!C31-'Balance Sheet'!D31</f>
        <v>-282.61999999999995</v>
      </c>
      <c r="E12" s="4">
        <f>'Balance Sheet'!D31-'Balance Sheet'!E31</f>
        <v>-181.10000000000002</v>
      </c>
      <c r="F12" s="4">
        <f>'Balance Sheet'!E31-'Balance Sheet'!F31</f>
        <v>-95.769999999999982</v>
      </c>
      <c r="G12" s="4">
        <f>'Balance Sheet'!F31-'Balance Sheet'!G31</f>
        <v>-5.2100000000000364</v>
      </c>
    </row>
    <row r="13" spans="2:7" ht="18.75" x14ac:dyDescent="0.25">
      <c r="B13" s="8" t="str">
        <f>'Balance Sheet'!B32</f>
        <v>Long Term Loans And Advances</v>
      </c>
      <c r="C13" s="4"/>
      <c r="D13" s="4">
        <f>'Balance Sheet'!C32-'Balance Sheet'!D32</f>
        <v>81.55</v>
      </c>
      <c r="E13" s="4">
        <f>'Balance Sheet'!D32-'Balance Sheet'!E32</f>
        <v>0</v>
      </c>
      <c r="F13" s="4">
        <f>'Balance Sheet'!E32-'Balance Sheet'!F32</f>
        <v>0</v>
      </c>
      <c r="G13" s="4">
        <f>'Balance Sheet'!F32-'Balance Sheet'!G32</f>
        <v>0</v>
      </c>
    </row>
    <row r="14" spans="2:7" ht="18.75" x14ac:dyDescent="0.25">
      <c r="B14" s="8" t="str">
        <f>'Balance Sheet'!B33</f>
        <v>Other Non-Current Assets</v>
      </c>
      <c r="C14" s="4"/>
      <c r="D14" s="4">
        <f>'Balance Sheet'!C33-'Balance Sheet'!D33</f>
        <v>47058.49</v>
      </c>
      <c r="E14" s="4">
        <f>'Balance Sheet'!D33-'Balance Sheet'!E33</f>
        <v>-113.50999999999999</v>
      </c>
      <c r="F14" s="4">
        <f>'Balance Sheet'!E33-'Balance Sheet'!F33</f>
        <v>13.110000000000014</v>
      </c>
      <c r="G14" s="4">
        <f>'Balance Sheet'!F33-'Balance Sheet'!G33</f>
        <v>-35.610000000000014</v>
      </c>
    </row>
    <row r="15" spans="2:7" ht="18.75" x14ac:dyDescent="0.25">
      <c r="B15" s="8" t="str">
        <f>'Balance Sheet'!B34</f>
        <v>Short Term Loans And Advances</v>
      </c>
      <c r="C15" s="4"/>
      <c r="D15" s="5">
        <f>'Balance Sheet'!C34-'Balance Sheet'!D34</f>
        <v>-112251.16</v>
      </c>
      <c r="E15" s="5">
        <f>'Balance Sheet'!D34-'Balance Sheet'!E34</f>
        <v>-28863.229999999981</v>
      </c>
      <c r="F15" s="5">
        <f>'Balance Sheet'!E34-'Balance Sheet'!F34</f>
        <v>-5310.820000000007</v>
      </c>
      <c r="G15" s="5">
        <f>'Balance Sheet'!F34-'Balance Sheet'!G34</f>
        <v>-44736.380000000005</v>
      </c>
    </row>
    <row r="16" spans="2:7" ht="18.75" x14ac:dyDescent="0.25">
      <c r="B16" s="8" t="str">
        <f>'Balance Sheet'!B35</f>
        <v>OtherCurrentAssets</v>
      </c>
      <c r="C16" s="4"/>
      <c r="D16" s="4">
        <f>'Balance Sheet'!C35-'Balance Sheet'!D35</f>
        <v>148.97999999999996</v>
      </c>
      <c r="E16" s="4">
        <f>'Balance Sheet'!D35-'Balance Sheet'!E35</f>
        <v>-251.89000000000004</v>
      </c>
      <c r="F16" s="4">
        <f>'Balance Sheet'!E35-'Balance Sheet'!F35</f>
        <v>104.66000000000008</v>
      </c>
      <c r="G16" s="4">
        <f>'Balance Sheet'!F35-'Balance Sheet'!G35</f>
        <v>-306.21000000000004</v>
      </c>
    </row>
    <row r="17" spans="2:7" ht="18.75" x14ac:dyDescent="0.25">
      <c r="B17" s="8" t="str">
        <f>'Balance Sheet'!B36</f>
        <v>Inventories</v>
      </c>
      <c r="C17" s="4"/>
      <c r="D17" s="4">
        <f>'Balance Sheet'!C36-'Balance Sheet'!D36</f>
        <v>0</v>
      </c>
      <c r="E17" s="4">
        <f>'Balance Sheet'!D36-'Balance Sheet'!E36</f>
        <v>0</v>
      </c>
      <c r="F17" s="4">
        <f>'Balance Sheet'!E36-'Balance Sheet'!F36</f>
        <v>0</v>
      </c>
      <c r="G17" s="4">
        <f>'Balance Sheet'!F36-'Balance Sheet'!G36</f>
        <v>0</v>
      </c>
    </row>
    <row r="18" spans="2:7" ht="18.75" x14ac:dyDescent="0.25">
      <c r="B18" s="8" t="str">
        <f>'Balance Sheet'!B37</f>
        <v>Trade Receivables</v>
      </c>
      <c r="C18" s="4"/>
      <c r="D18" s="5">
        <f>'Balance Sheet'!C37-'Balance Sheet'!D37</f>
        <v>33523.480000000003</v>
      </c>
      <c r="E18" s="5">
        <f>'Balance Sheet'!D37-'Balance Sheet'!E37</f>
        <v>-143.8599999999999</v>
      </c>
      <c r="F18" s="5">
        <f>'Balance Sheet'!E37-'Balance Sheet'!F37</f>
        <v>-154.68000000000006</v>
      </c>
      <c r="G18" s="5">
        <f>'Balance Sheet'!F37-'Balance Sheet'!G37</f>
        <v>-158.65000000000009</v>
      </c>
    </row>
    <row r="19" spans="2:7" ht="18.75" x14ac:dyDescent="0.25">
      <c r="B19" s="8" t="s">
        <v>134</v>
      </c>
      <c r="C19" s="4"/>
      <c r="D19" s="4"/>
      <c r="E19" s="4"/>
      <c r="F19" s="4"/>
      <c r="G19" s="4"/>
    </row>
    <row r="20" spans="2:7" ht="18.75" x14ac:dyDescent="0.25">
      <c r="B20" s="8" t="str">
        <f>'Balance Sheet'!B14</f>
        <v>Long Term Provisions</v>
      </c>
      <c r="C20" s="4"/>
      <c r="D20" s="4">
        <f>'Balance Sheet'!D14-'Balance Sheet'!C14</f>
        <v>-1062.4499999999998</v>
      </c>
      <c r="E20" s="4">
        <f>'Balance Sheet'!E14-'Balance Sheet'!D14</f>
        <v>7.1099999999999994</v>
      </c>
      <c r="F20" s="4">
        <f>'Balance Sheet'!F14-'Balance Sheet'!E14</f>
        <v>56.69</v>
      </c>
      <c r="G20" s="4">
        <f>'Balance Sheet'!G14-'Balance Sheet'!F14</f>
        <v>29.210000000000008</v>
      </c>
    </row>
    <row r="21" spans="2:7" ht="18.75" x14ac:dyDescent="0.25">
      <c r="B21" s="8" t="str">
        <f>'Balance Sheet'!B15</f>
        <v>Short Term Provisions</v>
      </c>
      <c r="C21" s="4"/>
      <c r="D21" s="4">
        <f>'Balance Sheet'!D15-'Balance Sheet'!C15</f>
        <v>-191</v>
      </c>
      <c r="E21" s="4">
        <f>'Balance Sheet'!E15-'Balance Sheet'!D15</f>
        <v>0</v>
      </c>
      <c r="F21" s="4">
        <f>'Balance Sheet'!F15-'Balance Sheet'!E15</f>
        <v>0</v>
      </c>
      <c r="G21" s="4">
        <f>'Balance Sheet'!G15-'Balance Sheet'!F15</f>
        <v>0</v>
      </c>
    </row>
    <row r="22" spans="2:7" ht="18.75" x14ac:dyDescent="0.25">
      <c r="B22" s="8" t="str">
        <f>'Balance Sheet'!B16</f>
        <v>Other Long Term Liabilities</v>
      </c>
      <c r="C22" s="4"/>
      <c r="D22" s="4">
        <f>'Balance Sheet'!D16-'Balance Sheet'!C16</f>
        <v>-142.14999999999998</v>
      </c>
      <c r="E22" s="4">
        <f>'Balance Sheet'!E16-'Balance Sheet'!D16</f>
        <v>113.19999999999999</v>
      </c>
      <c r="F22" s="4">
        <f>'Balance Sheet'!F16-'Balance Sheet'!E16</f>
        <v>215.79999999999995</v>
      </c>
      <c r="G22" s="4">
        <f>'Balance Sheet'!G16-'Balance Sheet'!F16</f>
        <v>-54.759999999999991</v>
      </c>
    </row>
    <row r="23" spans="2:7" ht="18.75" x14ac:dyDescent="0.25">
      <c r="B23" s="8" t="str">
        <f>'Balance Sheet'!B17</f>
        <v>Trade Payables</v>
      </c>
      <c r="C23" s="4"/>
      <c r="D23" s="5">
        <f>'Balance Sheet'!D17-'Balance Sheet'!C17</f>
        <v>350.74999999999994</v>
      </c>
      <c r="E23" s="5">
        <f>'Balance Sheet'!E17-'Balance Sheet'!D17</f>
        <v>148.26999999999998</v>
      </c>
      <c r="F23" s="5">
        <f>'Balance Sheet'!F17-'Balance Sheet'!E17</f>
        <v>148.87000000000012</v>
      </c>
      <c r="G23" s="5">
        <f>'Balance Sheet'!G17-'Balance Sheet'!F17</f>
        <v>80471.260000000009</v>
      </c>
    </row>
    <row r="24" spans="2:7" ht="18.75" x14ac:dyDescent="0.25">
      <c r="B24" s="8" t="str">
        <f>'Balance Sheet'!B18</f>
        <v>Other Current Liabilities</v>
      </c>
      <c r="C24" s="4"/>
      <c r="D24" s="5">
        <f>'Balance Sheet'!D18-'Balance Sheet'!C18</f>
        <v>-9632.7800000000007</v>
      </c>
      <c r="E24" s="5">
        <f>'Balance Sheet'!E18-'Balance Sheet'!D18</f>
        <v>-959.15000000000009</v>
      </c>
      <c r="F24" s="5">
        <f>'Balance Sheet'!F18-'Balance Sheet'!E18</f>
        <v>284.65000000000009</v>
      </c>
      <c r="G24" s="5">
        <f>'Balance Sheet'!G18-'Balance Sheet'!F18</f>
        <v>220.79999999999995</v>
      </c>
    </row>
    <row r="25" spans="2:7" ht="18.75" x14ac:dyDescent="0.25">
      <c r="B25" s="8" t="s">
        <v>103</v>
      </c>
      <c r="C25" s="4"/>
      <c r="D25" s="4"/>
      <c r="E25" s="4"/>
      <c r="F25" s="4"/>
      <c r="G25" s="4"/>
    </row>
    <row r="26" spans="2:7" ht="18.75" x14ac:dyDescent="0.25">
      <c r="B26" s="8" t="str">
        <f>'Income Statement'!B26</f>
        <v>Total Tax Expenses</v>
      </c>
      <c r="C26" s="4"/>
      <c r="D26" s="5">
        <f>'Income Statement'!D26</f>
        <v>2184.17</v>
      </c>
      <c r="E26" s="5">
        <f>'Income Statement'!E26</f>
        <v>2058.37</v>
      </c>
      <c r="F26" s="5">
        <f>'Income Statement'!F26</f>
        <v>1572.44</v>
      </c>
      <c r="G26" s="5">
        <f>'Income Statement'!G26</f>
        <v>2475.5500000000002</v>
      </c>
    </row>
    <row r="27" spans="2:7" ht="18.75" x14ac:dyDescent="0.25">
      <c r="B27" s="9" t="s">
        <v>135</v>
      </c>
      <c r="C27" s="6"/>
      <c r="D27" s="7">
        <f>D12+D13+D14+D15+D16+D17+D18+D20+D21+D22+D23+D24-D26+D10+D5</f>
        <v>-30237.749999999993</v>
      </c>
      <c r="E27" s="7">
        <f t="shared" ref="E27:G27" si="1">E12+E13+E14+E15+E16+E17+E18+E20+E21+E22+E23+E24-E26+E10+E5</f>
        <v>-11445.659999999985</v>
      </c>
      <c r="F27" s="7">
        <f t="shared" si="1"/>
        <v>15211.649999999991</v>
      </c>
      <c r="G27" s="7">
        <f t="shared" si="1"/>
        <v>56487.630000000005</v>
      </c>
    </row>
    <row r="28" spans="2:7" ht="18.75" x14ac:dyDescent="0.25">
      <c r="B28" s="8" t="s">
        <v>136</v>
      </c>
      <c r="C28" s="4"/>
      <c r="D28" s="4"/>
      <c r="E28" s="4"/>
      <c r="F28" s="4"/>
      <c r="G28" s="4"/>
    </row>
    <row r="29" spans="2:7" ht="18.75" x14ac:dyDescent="0.25">
      <c r="B29" s="8" t="str">
        <f>'Balance Sheet'!B23</f>
        <v>Tangible Assets</v>
      </c>
      <c r="C29" s="4"/>
      <c r="D29" s="5">
        <f>'Balance Sheet'!C23-'Balance Sheet'!D23</f>
        <v>-180.36</v>
      </c>
      <c r="E29" s="5">
        <f>'Balance Sheet'!D23-'Balance Sheet'!E23</f>
        <v>-570.75</v>
      </c>
      <c r="F29" s="5">
        <f>'Balance Sheet'!E23-'Balance Sheet'!F23</f>
        <v>55.569999999999936</v>
      </c>
      <c r="G29" s="5">
        <f>'Balance Sheet'!F23-'Balance Sheet'!G23</f>
        <v>-705.48</v>
      </c>
    </row>
    <row r="30" spans="2:7" ht="18.75" x14ac:dyDescent="0.25">
      <c r="B30" s="8" t="str">
        <f>'Balance Sheet'!B24</f>
        <v>Intangible Assets</v>
      </c>
      <c r="C30" s="4"/>
      <c r="D30" s="4">
        <f>'Balance Sheet'!C24-'Balance Sheet'!D24</f>
        <v>-44.22</v>
      </c>
      <c r="E30" s="4">
        <f>'Balance Sheet'!D24-'Balance Sheet'!E24</f>
        <v>-55.400000000000006</v>
      </c>
      <c r="F30" s="4">
        <f>'Balance Sheet'!E24-'Balance Sheet'!F24</f>
        <v>-50.28</v>
      </c>
      <c r="G30" s="4">
        <f>'Balance Sheet'!F24-'Balance Sheet'!G24</f>
        <v>270.74</v>
      </c>
    </row>
    <row r="31" spans="2:7" ht="18.75" x14ac:dyDescent="0.25">
      <c r="B31" s="8" t="str">
        <f>'Balance Sheet'!B27</f>
        <v>Non-Current Investments</v>
      </c>
      <c r="C31" s="4"/>
      <c r="D31" s="4">
        <f>'Balance Sheet'!C27-'Balance Sheet'!D27</f>
        <v>837.58</v>
      </c>
      <c r="E31" s="4">
        <f>'Balance Sheet'!D27-'Balance Sheet'!E27</f>
        <v>0</v>
      </c>
      <c r="F31" s="4">
        <f>'Balance Sheet'!E27-'Balance Sheet'!F27</f>
        <v>0</v>
      </c>
      <c r="G31" s="4">
        <f>'Balance Sheet'!F27-'Balance Sheet'!G27</f>
        <v>0</v>
      </c>
    </row>
    <row r="32" spans="2:7" ht="18.75" x14ac:dyDescent="0.25">
      <c r="B32" s="8" t="str">
        <f>'Balance Sheet'!B28</f>
        <v>Current Investments</v>
      </c>
      <c r="C32" s="4"/>
      <c r="D32" s="5">
        <f>'Balance Sheet'!C28-'Balance Sheet'!D28</f>
        <v>-6290.6400000000012</v>
      </c>
      <c r="E32" s="5">
        <f>'Balance Sheet'!D28-'Balance Sheet'!E28</f>
        <v>-8944.8700000000008</v>
      </c>
      <c r="F32" s="5">
        <f>'Balance Sheet'!E28-'Balance Sheet'!F28</f>
        <v>-853.0099999999984</v>
      </c>
      <c r="G32" s="5">
        <f>'Balance Sheet'!F28-'Balance Sheet'!G28</f>
        <v>6151.369999999999</v>
      </c>
    </row>
    <row r="33" spans="2:7" ht="18.75" x14ac:dyDescent="0.25">
      <c r="B33" s="8" t="str">
        <f>'Balance Sheet'!B29</f>
        <v>Capital Work-In-Progress</v>
      </c>
      <c r="C33" s="4"/>
      <c r="D33" s="4">
        <f>'Balance Sheet'!C29-'Balance Sheet'!D29</f>
        <v>3.27</v>
      </c>
      <c r="E33" s="4">
        <f>'Balance Sheet'!D29-'Balance Sheet'!E29</f>
        <v>0</v>
      </c>
      <c r="F33" s="4">
        <f>'Balance Sheet'!E29-'Balance Sheet'!F29</f>
        <v>-7.07</v>
      </c>
      <c r="G33" s="4">
        <f>'Balance Sheet'!F29-'Balance Sheet'!G29</f>
        <v>7.07</v>
      </c>
    </row>
    <row r="34" spans="2:7" ht="18.75" x14ac:dyDescent="0.25">
      <c r="B34" s="8" t="s">
        <v>59</v>
      </c>
      <c r="C34" s="4"/>
      <c r="D34" s="4">
        <f>'Income Statement'!D8</f>
        <v>13.04</v>
      </c>
      <c r="E34" s="4">
        <f>'Income Statement'!E8</f>
        <v>11.87</v>
      </c>
      <c r="F34" s="4">
        <f>'Income Statement'!F8</f>
        <v>14.95</v>
      </c>
      <c r="G34" s="4">
        <f>'Income Statement'!G8</f>
        <v>7.99</v>
      </c>
    </row>
    <row r="35" spans="2:7" ht="18.75" x14ac:dyDescent="0.25">
      <c r="B35" s="9" t="s">
        <v>137</v>
      </c>
      <c r="C35" s="6"/>
      <c r="D35" s="7">
        <f>D29+D30+D31+D32+D33+D34</f>
        <v>-5661.3300000000008</v>
      </c>
      <c r="E35" s="7">
        <f t="shared" ref="E35:G35" si="2">E29+E30+E31+E32+E33+E34</f>
        <v>-9559.15</v>
      </c>
      <c r="F35" s="7">
        <f t="shared" si="2"/>
        <v>-839.83999999999844</v>
      </c>
      <c r="G35" s="7">
        <f t="shared" si="2"/>
        <v>5731.6899999999987</v>
      </c>
    </row>
    <row r="36" spans="2:7" ht="18.75" x14ac:dyDescent="0.25">
      <c r="B36" s="8" t="s">
        <v>138</v>
      </c>
      <c r="C36" s="4"/>
      <c r="D36" s="4"/>
      <c r="E36" s="4"/>
      <c r="F36" s="4"/>
      <c r="G36" s="4"/>
    </row>
    <row r="37" spans="2:7" ht="18.75" x14ac:dyDescent="0.25">
      <c r="B37" s="8" t="str">
        <f>'Balance Sheet'!B5</f>
        <v>Equity Share Capital</v>
      </c>
      <c r="C37" s="4"/>
      <c r="D37" s="4">
        <f>'Balance Sheet'!D5-'Balance Sheet'!C5</f>
        <v>0.34000000000000341</v>
      </c>
      <c r="E37" s="4">
        <f>'Balance Sheet'!E5-'Balance Sheet'!D5</f>
        <v>4.6199999999999903</v>
      </c>
      <c r="F37" s="4">
        <f>'Balance Sheet'!F5-'Balance Sheet'!E5</f>
        <v>0.32999999999999829</v>
      </c>
      <c r="G37" s="4">
        <f>'Balance Sheet'!G5-'Balance Sheet'!F5</f>
        <v>0.34000000000000341</v>
      </c>
    </row>
    <row r="38" spans="2:7" ht="18.75" x14ac:dyDescent="0.25">
      <c r="B38" s="8" t="str">
        <f>'Balance Sheet'!B6</f>
        <v>Preference Share Capital</v>
      </c>
      <c r="C38" s="4"/>
      <c r="D38" s="4">
        <f>'Balance Sheet'!D6-'Balance Sheet'!C6</f>
        <v>0</v>
      </c>
      <c r="E38" s="4">
        <f>'Balance Sheet'!E6-'Balance Sheet'!D6</f>
        <v>0</v>
      </c>
      <c r="F38" s="4">
        <f>'Balance Sheet'!F6-'Balance Sheet'!E6</f>
        <v>0</v>
      </c>
      <c r="G38" s="4">
        <f>'Balance Sheet'!G6-'Balance Sheet'!F6</f>
        <v>0</v>
      </c>
    </row>
    <row r="39" spans="2:7" ht="18.75" x14ac:dyDescent="0.25">
      <c r="B39" s="8" t="str">
        <f>'Balance Sheet'!B10</f>
        <v>Long Term Borrowings</v>
      </c>
      <c r="C39" s="4"/>
      <c r="D39" s="5">
        <f>'Balance Sheet'!D10-'Balance Sheet'!C10</f>
        <v>18117.100000000006</v>
      </c>
      <c r="E39" s="5">
        <f>'Balance Sheet'!E10-'Balance Sheet'!D10</f>
        <v>11092.849999999991</v>
      </c>
      <c r="F39" s="5">
        <f>'Balance Sheet'!F10-'Balance Sheet'!E10</f>
        <v>9097.9199999999983</v>
      </c>
      <c r="G39" s="5">
        <f>'Balance Sheet'!G10-'Balance Sheet'!F10</f>
        <v>-84204.18</v>
      </c>
    </row>
    <row r="40" spans="2:7" ht="18.75" x14ac:dyDescent="0.25">
      <c r="B40" s="8" t="str">
        <f>'Balance Sheet'!B11</f>
        <v>Deferred Tax Liabilities [Net]</v>
      </c>
      <c r="C40" s="4"/>
      <c r="D40" s="4">
        <f>'Balance Sheet'!D11-'Balance Sheet'!C11</f>
        <v>0</v>
      </c>
      <c r="E40" s="4">
        <f>'Balance Sheet'!E11-'Balance Sheet'!D11</f>
        <v>0</v>
      </c>
      <c r="F40" s="4">
        <f>'Balance Sheet'!F11-'Balance Sheet'!E11</f>
        <v>0</v>
      </c>
      <c r="G40" s="4">
        <f>'Balance Sheet'!G11-'Balance Sheet'!F11</f>
        <v>0</v>
      </c>
    </row>
    <row r="41" spans="2:7" ht="18.75" x14ac:dyDescent="0.25">
      <c r="B41" s="8" t="str">
        <f>'Balance Sheet'!B12</f>
        <v>Short Term Borrowings</v>
      </c>
      <c r="C41" s="4"/>
      <c r="D41" s="5">
        <f>'Balance Sheet'!D12-'Balance Sheet'!C12</f>
        <v>26817.33</v>
      </c>
      <c r="E41" s="5">
        <f>'Balance Sheet'!E12-'Balance Sheet'!D12</f>
        <v>17125.729999999996</v>
      </c>
      <c r="F41" s="5">
        <f>'Balance Sheet'!F12-'Balance Sheet'!E12</f>
        <v>-7258.9700000000012</v>
      </c>
      <c r="G41" s="5">
        <f>'Balance Sheet'!G12-'Balance Sheet'!F12</f>
        <v>37721.880000000005</v>
      </c>
    </row>
    <row r="42" spans="2:7" ht="18.75" x14ac:dyDescent="0.25">
      <c r="B42" s="8" t="str">
        <f>'Balance Sheet'!B20:G20</f>
        <v>Minority Interest</v>
      </c>
      <c r="C42" s="4"/>
      <c r="D42" s="4">
        <f>'Balance Sheet'!D20-'Balance Sheet'!C20</f>
        <v>0</v>
      </c>
      <c r="E42" s="4">
        <f>'Balance Sheet'!E20-'Balance Sheet'!D20</f>
        <v>0</v>
      </c>
      <c r="F42" s="4">
        <f>'Balance Sheet'!F20-'Balance Sheet'!E20</f>
        <v>0</v>
      </c>
      <c r="G42" s="4">
        <f>'Balance Sheet'!G20-'Balance Sheet'!F20</f>
        <v>0</v>
      </c>
    </row>
    <row r="43" spans="2:7" ht="18.75" x14ac:dyDescent="0.25">
      <c r="B43" s="8" t="s">
        <v>139</v>
      </c>
      <c r="C43" s="4"/>
      <c r="D43" s="4"/>
      <c r="E43" s="4"/>
      <c r="F43" s="4"/>
      <c r="G43" s="4"/>
    </row>
    <row r="44" spans="2:7" ht="18.75" x14ac:dyDescent="0.25">
      <c r="B44" s="8" t="str">
        <f>'Income Statement'!B28</f>
        <v>Equity Share Dividend</v>
      </c>
      <c r="C44" s="4"/>
      <c r="D44" s="4">
        <f>'Income Statement'!D28</f>
        <v>231.19</v>
      </c>
      <c r="E44" s="4">
        <f>'Income Statement'!E28</f>
        <v>949.63</v>
      </c>
      <c r="F44" s="4">
        <f>'Income Statement'!F28</f>
        <v>0</v>
      </c>
      <c r="G44" s="4">
        <f>'Income Statement'!G28</f>
        <v>0</v>
      </c>
    </row>
    <row r="45" spans="2:7" ht="18.75" x14ac:dyDescent="0.25">
      <c r="B45" s="8" t="str">
        <f>'Income Statement'!B29</f>
        <v>Tax On Dividend</v>
      </c>
      <c r="C45" s="4"/>
      <c r="D45" s="4">
        <f>'Income Statement'!D29</f>
        <v>47.52</v>
      </c>
      <c r="E45" s="4">
        <f>'Income Statement'!E29</f>
        <v>195.2</v>
      </c>
      <c r="F45" s="4">
        <f>'Income Statement'!F29</f>
        <v>0</v>
      </c>
      <c r="G45" s="4">
        <f>'Income Statement'!G29</f>
        <v>0</v>
      </c>
    </row>
    <row r="46" spans="2:7" ht="18.75" x14ac:dyDescent="0.25">
      <c r="B46" s="8" t="s">
        <v>140</v>
      </c>
      <c r="C46" s="4"/>
      <c r="D46" s="5">
        <f>'Income Statement'!D20</f>
        <v>6623.56</v>
      </c>
      <c r="E46" s="5">
        <f>'Income Statement'!E20</f>
        <v>9473.2099999999991</v>
      </c>
      <c r="F46" s="5">
        <f>'Income Statement'!F20</f>
        <v>9414</v>
      </c>
      <c r="G46" s="5">
        <f>'Income Statement'!G20</f>
        <v>9748.24</v>
      </c>
    </row>
    <row r="47" spans="2:7" ht="18.75" x14ac:dyDescent="0.25">
      <c r="B47" s="9" t="s">
        <v>141</v>
      </c>
      <c r="C47" s="6"/>
      <c r="D47" s="7">
        <f>D37+D38+D39+D40+D41+D42-D44-D45-D46</f>
        <v>38032.500000000007</v>
      </c>
      <c r="E47" s="7">
        <f t="shared" ref="E47:G47" si="3">E37+E38+E39+E40+E41+E42-E44-E45-E46</f>
        <v>17605.159999999989</v>
      </c>
      <c r="F47" s="7">
        <f t="shared" si="3"/>
        <v>-7574.720000000003</v>
      </c>
      <c r="G47" s="7">
        <f t="shared" si="3"/>
        <v>-56230.19999999999</v>
      </c>
    </row>
    <row r="48" spans="2:7" ht="18.75" x14ac:dyDescent="0.25">
      <c r="B48" s="9" t="s">
        <v>142</v>
      </c>
      <c r="C48" s="6"/>
      <c r="D48" s="7">
        <f>D27+D35+D47</f>
        <v>2133.4200000000128</v>
      </c>
      <c r="E48" s="7">
        <f t="shared" ref="E48:G48" si="4">E27+E35+E47</f>
        <v>-3399.6499999999942</v>
      </c>
      <c r="F48" s="7">
        <f t="shared" si="4"/>
        <v>6797.0899999999892</v>
      </c>
      <c r="G48" s="7">
        <f t="shared" si="4"/>
        <v>5989.1200000000172</v>
      </c>
    </row>
  </sheetData>
  <mergeCells count="1"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0A6B85-D8D0-4D92-9768-4D1DEB5070E0}">
  <dimension ref="B3:L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3" width="13.5703125" bestFit="1" customWidth="1"/>
    <col min="4" max="7" width="14.85546875" bestFit="1" customWidth="1"/>
  </cols>
  <sheetData>
    <row r="3" spans="2:12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12" ht="19.5" thickBot="1" x14ac:dyDescent="0.3">
      <c r="B5" s="14" t="s">
        <v>145</v>
      </c>
      <c r="C5" s="14"/>
      <c r="D5" s="14"/>
      <c r="E5" s="14"/>
      <c r="F5" s="14"/>
      <c r="G5" s="14"/>
    </row>
    <row r="6" spans="2:12" ht="19.5" thickTop="1" x14ac:dyDescent="0.25">
      <c r="B6" s="15" t="str">
        <f>'Income Statement'!B27</f>
        <v>Reported Net Profit(PAT)</v>
      </c>
      <c r="C6" s="16">
        <f>'Income Statement'!C27</f>
        <v>2613.8200000000015</v>
      </c>
      <c r="D6" s="16">
        <f>'Income Statement'!D27</f>
        <v>5406.4900000000025</v>
      </c>
      <c r="E6" s="16">
        <f>'Income Statement'!E27</f>
        <v>9042.5299999999988</v>
      </c>
      <c r="F6" s="16">
        <f>'Income Statement'!F27</f>
        <v>10224.819999999998</v>
      </c>
      <c r="G6" s="16">
        <f>'Income Statement'!G27</f>
        <v>10938.36</v>
      </c>
      <c r="I6" s="18"/>
      <c r="J6" s="19"/>
      <c r="K6" s="19"/>
      <c r="L6" s="20"/>
    </row>
    <row r="7" spans="2:12" ht="18.75" x14ac:dyDescent="0.25">
      <c r="B7" s="15" t="str">
        <f>'Income Statement'!B35</f>
        <v>Total Shares Outstanding(cr)</v>
      </c>
      <c r="C7" s="16">
        <f>'Income Statement'!C35</f>
        <v>54.454583333333368</v>
      </c>
      <c r="D7" s="16">
        <f>'Income Statement'!D35</f>
        <v>78.354927536231926</v>
      </c>
      <c r="E7" s="16">
        <f>'Income Statement'!E35</f>
        <v>100.47255555555554</v>
      </c>
      <c r="F7" s="16">
        <f>'Income Statement'!F35</f>
        <v>138.17324324324321</v>
      </c>
      <c r="G7" s="16">
        <f>'Income Statement'!G35</f>
        <v>93.490256410256421</v>
      </c>
      <c r="I7" s="21"/>
      <c r="J7" s="22"/>
      <c r="K7" s="22"/>
      <c r="L7" s="23"/>
    </row>
    <row r="8" spans="2:12" ht="19.5" thickBot="1" x14ac:dyDescent="0.3">
      <c r="B8" s="17" t="s">
        <v>146</v>
      </c>
      <c r="C8" s="17">
        <f>ROUND(C6/C7, 2)</f>
        <v>48</v>
      </c>
      <c r="D8" s="17">
        <f t="shared" ref="D8:G8" si="0">ROUND(D6/D7, 2)</f>
        <v>69</v>
      </c>
      <c r="E8" s="17">
        <f t="shared" si="0"/>
        <v>90</v>
      </c>
      <c r="F8" s="17">
        <f t="shared" si="0"/>
        <v>74</v>
      </c>
      <c r="G8" s="17">
        <f t="shared" si="0"/>
        <v>117</v>
      </c>
      <c r="I8" s="24"/>
      <c r="J8" s="25"/>
      <c r="K8" s="25"/>
      <c r="L8" s="26"/>
    </row>
    <row r="9" spans="2:12" ht="15.75" thickTop="1" x14ac:dyDescent="0.25"/>
    <row r="10" spans="2:12" ht="19.5" thickBot="1" x14ac:dyDescent="0.3">
      <c r="B10" s="14" t="s">
        <v>147</v>
      </c>
      <c r="C10" s="14"/>
      <c r="D10" s="14"/>
      <c r="E10" s="14"/>
      <c r="F10" s="14"/>
      <c r="G10" s="14"/>
    </row>
    <row r="11" spans="2:12" ht="19.5" thickTop="1" x14ac:dyDescent="0.25">
      <c r="B11" s="15" t="str">
        <f>'Income Statement'!B28</f>
        <v>Equity Share Dividend</v>
      </c>
      <c r="C11" s="16">
        <f>'Income Statement'!C28</f>
        <v>197.96</v>
      </c>
      <c r="D11" s="16">
        <f>'Income Statement'!D28</f>
        <v>231.19</v>
      </c>
      <c r="E11" s="16">
        <f>'Income Statement'!E28</f>
        <v>949.63</v>
      </c>
      <c r="F11" s="16">
        <f>'Income Statement'!F28</f>
        <v>0</v>
      </c>
      <c r="G11" s="16">
        <f>'Income Statement'!G28</f>
        <v>0</v>
      </c>
      <c r="I11" s="18"/>
      <c r="J11" s="19"/>
      <c r="K11" s="19"/>
      <c r="L11" s="20"/>
    </row>
    <row r="12" spans="2:12" ht="18.75" x14ac:dyDescent="0.25">
      <c r="B12" s="15" t="str">
        <f>'Income Statement'!B35</f>
        <v>Total Shares Outstanding(cr)</v>
      </c>
      <c r="C12" s="16">
        <f>'Income Statement'!C35</f>
        <v>54.454583333333368</v>
      </c>
      <c r="D12" s="16">
        <f>'Income Statement'!D35</f>
        <v>78.354927536231926</v>
      </c>
      <c r="E12" s="16">
        <f>'Income Statement'!E35</f>
        <v>100.47255555555554</v>
      </c>
      <c r="F12" s="16">
        <f>'Income Statement'!F35</f>
        <v>138.17324324324321</v>
      </c>
      <c r="G12" s="16">
        <f>'Income Statement'!G35</f>
        <v>93.490256410256421</v>
      </c>
      <c r="I12" s="21"/>
      <c r="J12" s="22"/>
      <c r="K12" s="22"/>
      <c r="L12" s="23"/>
    </row>
    <row r="13" spans="2:12" ht="19.5" thickBot="1" x14ac:dyDescent="0.3">
      <c r="B13" s="17" t="s">
        <v>148</v>
      </c>
      <c r="C13" s="17">
        <f>ROUND(C11/C12, 2)</f>
        <v>3.64</v>
      </c>
      <c r="D13" s="17">
        <f t="shared" ref="D13:G13" si="1">ROUND(D11/D12, 2)</f>
        <v>2.95</v>
      </c>
      <c r="E13" s="17">
        <f t="shared" si="1"/>
        <v>9.4499999999999993</v>
      </c>
      <c r="F13" s="17">
        <f t="shared" si="1"/>
        <v>0</v>
      </c>
      <c r="G13" s="17">
        <f t="shared" si="1"/>
        <v>0</v>
      </c>
      <c r="I13" s="24"/>
      <c r="J13" s="25"/>
      <c r="K13" s="25"/>
      <c r="L13" s="26"/>
    </row>
    <row r="14" spans="2:12" ht="15.75" thickTop="1" x14ac:dyDescent="0.25"/>
    <row r="15" spans="2:12" ht="19.5" thickBot="1" x14ac:dyDescent="0.3">
      <c r="B15" s="14" t="s">
        <v>149</v>
      </c>
      <c r="C15" s="14"/>
      <c r="D15" s="14"/>
      <c r="E15" s="14"/>
      <c r="F15" s="14"/>
      <c r="G15" s="14"/>
    </row>
    <row r="16" spans="2:12" ht="19.5" thickTop="1" x14ac:dyDescent="0.25">
      <c r="B16" s="15" t="str">
        <f>'Balance Sheet'!B9</f>
        <v>Net Worth</v>
      </c>
      <c r="C16" s="16">
        <f>'Balance Sheet'!C9</f>
        <v>16545.649999999998</v>
      </c>
      <c r="D16" s="16">
        <f>'Balance Sheet'!D9</f>
        <v>21673.77</v>
      </c>
      <c r="E16" s="16">
        <f>'Balance Sheet'!E9</f>
        <v>29576.09</v>
      </c>
      <c r="F16" s="16">
        <f>'Balance Sheet'!F9</f>
        <v>39801.24</v>
      </c>
      <c r="G16" s="16">
        <f>'Balance Sheet'!G9</f>
        <v>50739.94</v>
      </c>
      <c r="I16" s="18"/>
      <c r="J16" s="19"/>
      <c r="K16" s="19"/>
      <c r="L16" s="20"/>
    </row>
    <row r="17" spans="2:12" ht="18.75" x14ac:dyDescent="0.25">
      <c r="B17" s="15" t="str">
        <f>'Income Statement'!B35</f>
        <v>Total Shares Outstanding(cr)</v>
      </c>
      <c r="C17" s="16">
        <f>'Income Statement'!C35</f>
        <v>54.454583333333368</v>
      </c>
      <c r="D17" s="16">
        <f>'Income Statement'!D35</f>
        <v>78.354927536231926</v>
      </c>
      <c r="E17" s="16">
        <f>'Income Statement'!E35</f>
        <v>100.47255555555554</v>
      </c>
      <c r="F17" s="16">
        <f>'Income Statement'!F35</f>
        <v>138.17324324324321</v>
      </c>
      <c r="G17" s="16">
        <f>'Income Statement'!G35</f>
        <v>93.490256410256421</v>
      </c>
      <c r="I17" s="21"/>
      <c r="J17" s="22"/>
      <c r="K17" s="22"/>
      <c r="L17" s="23"/>
    </row>
    <row r="18" spans="2:12" ht="19.5" thickBot="1" x14ac:dyDescent="0.3">
      <c r="B18" s="17" t="s">
        <v>150</v>
      </c>
      <c r="C18" s="17">
        <f>ROUND(C16/C17, 2)</f>
        <v>303.83999999999997</v>
      </c>
      <c r="D18" s="17">
        <f t="shared" ref="D18:G18" si="2">ROUND(D16/D17, 2)</f>
        <v>276.61</v>
      </c>
      <c r="E18" s="17">
        <f t="shared" si="2"/>
        <v>294.37</v>
      </c>
      <c r="F18" s="17">
        <f t="shared" si="2"/>
        <v>288.05</v>
      </c>
      <c r="G18" s="17">
        <f t="shared" si="2"/>
        <v>542.73</v>
      </c>
      <c r="I18" s="24"/>
      <c r="J18" s="25"/>
      <c r="K18" s="25"/>
      <c r="L18" s="26"/>
    </row>
    <row r="19" spans="2:12" ht="15.75" thickTop="1" x14ac:dyDescent="0.25"/>
    <row r="20" spans="2:12" ht="18.75" x14ac:dyDescent="0.25">
      <c r="B20" s="14" t="s">
        <v>151</v>
      </c>
      <c r="C20" s="14"/>
      <c r="D20" s="14"/>
      <c r="E20" s="14"/>
      <c r="F20" s="14"/>
      <c r="G20" s="14"/>
    </row>
    <row r="21" spans="2:12" ht="18.75" x14ac:dyDescent="0.25">
      <c r="B21" s="15" t="str">
        <f>'Income Statement'!B28</f>
        <v>Equity Share Dividend</v>
      </c>
      <c r="C21" s="16">
        <f>'Income Statement'!C28</f>
        <v>197.96</v>
      </c>
      <c r="D21" s="16">
        <f>'Income Statement'!D28</f>
        <v>231.19</v>
      </c>
      <c r="E21" s="16">
        <f>'Income Statement'!E28</f>
        <v>949.63</v>
      </c>
      <c r="F21" s="16">
        <f>'Income Statement'!F28</f>
        <v>0</v>
      </c>
      <c r="G21" s="16">
        <f>'Income Statement'!G28</f>
        <v>0</v>
      </c>
    </row>
    <row r="22" spans="2:12" ht="18.75" x14ac:dyDescent="0.25">
      <c r="B22" s="15" t="str">
        <f>'Income Statement'!B35</f>
        <v>Total Shares Outstanding(cr)</v>
      </c>
      <c r="C22" s="16">
        <f>'Income Statement'!C35</f>
        <v>54.454583333333368</v>
      </c>
      <c r="D22" s="16">
        <f>'Income Statement'!D35</f>
        <v>78.354927536231926</v>
      </c>
      <c r="E22" s="16">
        <f>'Income Statement'!E35</f>
        <v>100.47255555555554</v>
      </c>
      <c r="F22" s="16">
        <f>'Income Statement'!F35</f>
        <v>138.17324324324321</v>
      </c>
      <c r="G22" s="16">
        <f>'Income Statement'!G35</f>
        <v>93.490256410256421</v>
      </c>
    </row>
    <row r="23" spans="2:12" ht="18.75" x14ac:dyDescent="0.25">
      <c r="B23" s="15" t="s">
        <v>148</v>
      </c>
      <c r="C23" s="16">
        <f>ROUND(C21/C22, 2)</f>
        <v>3.64</v>
      </c>
      <c r="D23" s="16">
        <f t="shared" ref="D23:G23" si="3">ROUND(D21/D22, 2)</f>
        <v>2.95</v>
      </c>
      <c r="E23" s="16">
        <f t="shared" si="3"/>
        <v>9.4499999999999993</v>
      </c>
      <c r="F23" s="16">
        <f t="shared" si="3"/>
        <v>0</v>
      </c>
      <c r="G23" s="16">
        <f t="shared" si="3"/>
        <v>0</v>
      </c>
    </row>
    <row r="24" spans="2:12" ht="19.5" thickBot="1" x14ac:dyDescent="0.3">
      <c r="B24" s="15" t="str">
        <f>'Income Statement'!B27</f>
        <v>Reported Net Profit(PAT)</v>
      </c>
      <c r="C24" s="16">
        <f>'Income Statement'!C27</f>
        <v>2613.8200000000015</v>
      </c>
      <c r="D24" s="16">
        <f>'Income Statement'!D27</f>
        <v>5406.4900000000025</v>
      </c>
      <c r="E24" s="16">
        <f>'Income Statement'!E27</f>
        <v>9042.5299999999988</v>
      </c>
      <c r="F24" s="16">
        <f>'Income Statement'!F27</f>
        <v>10224.819999999998</v>
      </c>
      <c r="G24" s="16">
        <f>'Income Statement'!G27</f>
        <v>10938.36</v>
      </c>
    </row>
    <row r="25" spans="2:12" ht="19.5" thickTop="1" x14ac:dyDescent="0.25">
      <c r="B25" s="15" t="str">
        <f>'Income Statement'!B35</f>
        <v>Total Shares Outstanding(cr)</v>
      </c>
      <c r="C25" s="16">
        <f>'Income Statement'!C35</f>
        <v>54.454583333333368</v>
      </c>
      <c r="D25" s="16">
        <f>'Income Statement'!D35</f>
        <v>78.354927536231926</v>
      </c>
      <c r="E25" s="16">
        <f>'Income Statement'!E35</f>
        <v>100.47255555555554</v>
      </c>
      <c r="F25" s="16">
        <f>'Income Statement'!F35</f>
        <v>138.17324324324321</v>
      </c>
      <c r="G25" s="16">
        <f>'Income Statement'!G35</f>
        <v>93.490256410256421</v>
      </c>
      <c r="I25" s="18"/>
      <c r="J25" s="19"/>
      <c r="K25" s="19"/>
      <c r="L25" s="20"/>
    </row>
    <row r="26" spans="2:12" ht="18.75" x14ac:dyDescent="0.25">
      <c r="B26" s="15" t="s">
        <v>146</v>
      </c>
      <c r="C26" s="16">
        <f>C24/C25</f>
        <v>48</v>
      </c>
      <c r="D26" s="16">
        <f t="shared" ref="D26:G26" si="4">D24/D25</f>
        <v>69</v>
      </c>
      <c r="E26" s="16">
        <f t="shared" si="4"/>
        <v>90</v>
      </c>
      <c r="F26" s="16">
        <f t="shared" si="4"/>
        <v>74</v>
      </c>
      <c r="G26" s="16">
        <f t="shared" si="4"/>
        <v>116.99999999999999</v>
      </c>
      <c r="I26" s="21"/>
      <c r="J26" s="22"/>
      <c r="K26" s="22"/>
      <c r="L26" s="23"/>
    </row>
    <row r="27" spans="2:12" ht="19.5" thickBot="1" x14ac:dyDescent="0.3">
      <c r="B27" s="17" t="s">
        <v>152</v>
      </c>
      <c r="C27" s="17">
        <f>ROUND(C23/C26, 2)</f>
        <v>0.08</v>
      </c>
      <c r="D27" s="17">
        <f t="shared" ref="D27:G27" si="5">ROUND(D23/D26, 2)</f>
        <v>0.04</v>
      </c>
      <c r="E27" s="17">
        <f t="shared" si="5"/>
        <v>0.11</v>
      </c>
      <c r="F27" s="17">
        <f t="shared" si="5"/>
        <v>0</v>
      </c>
      <c r="G27" s="17">
        <f t="shared" si="5"/>
        <v>0</v>
      </c>
      <c r="I27" s="24"/>
      <c r="J27" s="25"/>
      <c r="K27" s="25"/>
      <c r="L27" s="26"/>
    </row>
    <row r="28" spans="2:12" ht="15.75" thickTop="1" x14ac:dyDescent="0.25"/>
    <row r="29" spans="2:12" ht="18.75" x14ac:dyDescent="0.25">
      <c r="B29" s="14" t="s">
        <v>153</v>
      </c>
      <c r="C29" s="14"/>
      <c r="D29" s="14"/>
      <c r="E29" s="14"/>
      <c r="F29" s="14"/>
      <c r="G29" s="14"/>
    </row>
    <row r="30" spans="2:12" ht="19.5" thickBot="1" x14ac:dyDescent="0.3">
      <c r="B30" s="15" t="str">
        <f>'Income Statement'!B28</f>
        <v>Equity Share Dividend</v>
      </c>
      <c r="C30" s="16">
        <f>'Income Statement'!C28</f>
        <v>197.96</v>
      </c>
      <c r="D30" s="16">
        <f>'Income Statement'!D28</f>
        <v>231.19</v>
      </c>
      <c r="E30" s="16">
        <f>'Income Statement'!E28</f>
        <v>949.63</v>
      </c>
      <c r="F30" s="16">
        <f>'Income Statement'!F28</f>
        <v>0</v>
      </c>
      <c r="G30" s="16">
        <f>'Income Statement'!G28</f>
        <v>0</v>
      </c>
    </row>
    <row r="31" spans="2:12" ht="19.5" thickTop="1" x14ac:dyDescent="0.25">
      <c r="B31" s="15" t="str">
        <f>'Income Statement'!B35</f>
        <v>Total Shares Outstanding(cr)</v>
      </c>
      <c r="C31" s="16">
        <f>'Income Statement'!C35</f>
        <v>54.454583333333368</v>
      </c>
      <c r="D31" s="16">
        <f>'Income Statement'!D35</f>
        <v>78.354927536231926</v>
      </c>
      <c r="E31" s="16">
        <f>'Income Statement'!E35</f>
        <v>100.47255555555554</v>
      </c>
      <c r="F31" s="16">
        <f>'Income Statement'!F35</f>
        <v>138.17324324324321</v>
      </c>
      <c r="G31" s="16">
        <f>'Income Statement'!G35</f>
        <v>93.490256410256421</v>
      </c>
      <c r="I31" s="18"/>
      <c r="J31" s="19"/>
      <c r="K31" s="19"/>
      <c r="L31" s="20"/>
    </row>
    <row r="32" spans="2:12" ht="18.75" x14ac:dyDescent="0.25">
      <c r="B32" s="15" t="s">
        <v>154</v>
      </c>
      <c r="C32" s="16">
        <f>ROUND(C30/C31, 2)</f>
        <v>3.64</v>
      </c>
      <c r="D32" s="16">
        <f t="shared" ref="D32:G32" si="6">ROUND(D30/D31, 2)</f>
        <v>2.95</v>
      </c>
      <c r="E32" s="16">
        <f t="shared" si="6"/>
        <v>9.4499999999999993</v>
      </c>
      <c r="F32" s="16">
        <f t="shared" si="6"/>
        <v>0</v>
      </c>
      <c r="G32" s="16">
        <f t="shared" si="6"/>
        <v>0</v>
      </c>
      <c r="I32" s="21"/>
      <c r="J32" s="22"/>
      <c r="K32" s="22"/>
      <c r="L32" s="23"/>
    </row>
    <row r="33" spans="2:12" ht="19.5" thickBot="1" x14ac:dyDescent="0.3">
      <c r="B33" s="17" t="s">
        <v>155</v>
      </c>
      <c r="C33" s="27">
        <f>1-C32</f>
        <v>-2.64</v>
      </c>
      <c r="D33" s="27">
        <f t="shared" ref="D33:G33" si="7">1-D32</f>
        <v>-1.9500000000000002</v>
      </c>
      <c r="E33" s="27">
        <f t="shared" si="7"/>
        <v>-8.4499999999999993</v>
      </c>
      <c r="F33" s="27">
        <f t="shared" si="7"/>
        <v>1</v>
      </c>
      <c r="G33" s="27">
        <f t="shared" si="7"/>
        <v>1</v>
      </c>
      <c r="I33" s="24"/>
      <c r="J33" s="25"/>
      <c r="K33" s="25"/>
      <c r="L33" s="26"/>
    </row>
    <row r="34" spans="2:12" ht="15.75" thickTop="1" x14ac:dyDescent="0.25"/>
    <row r="35" spans="2:12" ht="19.5" thickBot="1" x14ac:dyDescent="0.3">
      <c r="B35" s="14" t="s">
        <v>156</v>
      </c>
      <c r="C35" s="14"/>
      <c r="D35" s="14"/>
      <c r="E35" s="14"/>
      <c r="F35" s="14"/>
      <c r="G35" s="14"/>
    </row>
    <row r="36" spans="2:12" ht="19.5" thickTop="1" x14ac:dyDescent="0.25">
      <c r="B36" s="15" t="str">
        <f>'Income Statement'!B5</f>
        <v>Gross Sales</v>
      </c>
      <c r="C36" s="16">
        <f>'Income Statement'!C5</f>
        <v>12336.56</v>
      </c>
      <c r="D36" s="16">
        <f>'Income Statement'!D5</f>
        <v>18397.29</v>
      </c>
      <c r="E36" s="16">
        <f>'Income Statement'!E5</f>
        <v>26223.07</v>
      </c>
      <c r="F36" s="16">
        <f>'Income Statement'!F5</f>
        <v>26504.52</v>
      </c>
      <c r="G36" s="16">
        <f>'Income Statement'!G5</f>
        <v>30739.15</v>
      </c>
      <c r="I36" s="18"/>
      <c r="J36" s="19"/>
      <c r="K36" s="19"/>
      <c r="L36" s="20"/>
    </row>
    <row r="37" spans="2:12" ht="18.75" x14ac:dyDescent="0.25">
      <c r="B37" s="15" t="str">
        <f>'Income Statement'!B11</f>
        <v>Cost Of Materials Consumed</v>
      </c>
      <c r="C37" s="16">
        <f>'Income Statement'!C11</f>
        <v>0</v>
      </c>
      <c r="D37" s="16">
        <f>'Income Statement'!D11</f>
        <v>0</v>
      </c>
      <c r="E37" s="16">
        <f>'Income Statement'!E11</f>
        <v>0</v>
      </c>
      <c r="F37" s="16">
        <f>'Income Statement'!F11</f>
        <v>0</v>
      </c>
      <c r="G37" s="16">
        <f>'Income Statement'!G11</f>
        <v>0</v>
      </c>
      <c r="I37" s="21"/>
      <c r="J37" s="22"/>
      <c r="K37" s="22"/>
      <c r="L37" s="23"/>
    </row>
    <row r="38" spans="2:12" ht="19.5" thickBot="1" x14ac:dyDescent="0.3">
      <c r="B38" s="17" t="s">
        <v>157</v>
      </c>
      <c r="C38" s="28">
        <f>ROUND(C36- C37, 2)</f>
        <v>12336.56</v>
      </c>
      <c r="D38" s="28">
        <f t="shared" ref="D38:G38" si="8">ROUND(D36- D37, 2)</f>
        <v>18397.29</v>
      </c>
      <c r="E38" s="28">
        <f t="shared" si="8"/>
        <v>26223.07</v>
      </c>
      <c r="F38" s="28">
        <f t="shared" si="8"/>
        <v>26504.52</v>
      </c>
      <c r="G38" s="28">
        <f t="shared" si="8"/>
        <v>30739.15</v>
      </c>
      <c r="I38" s="24"/>
      <c r="J38" s="25"/>
      <c r="K38" s="25"/>
      <c r="L38" s="26"/>
    </row>
    <row r="39" spans="2:12" ht="15.75" thickTop="1" x14ac:dyDescent="0.25"/>
    <row r="40" spans="2:12" ht="19.5" thickBot="1" x14ac:dyDescent="0.3">
      <c r="B40" s="14" t="s">
        <v>158</v>
      </c>
      <c r="C40" s="14"/>
      <c r="D40" s="14"/>
      <c r="E40" s="14"/>
      <c r="F40" s="14"/>
      <c r="G40" s="14"/>
    </row>
    <row r="41" spans="2:12" ht="19.5" thickTop="1" x14ac:dyDescent="0.25">
      <c r="B41" s="15" t="str">
        <f>'Income Statement'!B5</f>
        <v>Gross Sales</v>
      </c>
      <c r="C41" s="16">
        <f>'Income Statement'!C5</f>
        <v>12336.56</v>
      </c>
      <c r="D41" s="16">
        <f>'Income Statement'!D5</f>
        <v>18397.29</v>
      </c>
      <c r="E41" s="16">
        <f>'Income Statement'!E5</f>
        <v>26223.07</v>
      </c>
      <c r="F41" s="16">
        <f>'Income Statement'!F5</f>
        <v>26504.52</v>
      </c>
      <c r="G41" s="16">
        <f>'Income Statement'!G5</f>
        <v>30739.15</v>
      </c>
      <c r="I41" s="18"/>
      <c r="J41" s="19"/>
      <c r="K41" s="19"/>
      <c r="L41" s="20"/>
    </row>
    <row r="42" spans="2:12" ht="18.75" x14ac:dyDescent="0.25">
      <c r="B42" s="15" t="str">
        <f>'Income Statement'!B15</f>
        <v>Total Expenditure</v>
      </c>
      <c r="C42" s="16">
        <f>'Income Statement'!C15</f>
        <v>3588.12</v>
      </c>
      <c r="D42" s="16">
        <f>'Income Statement'!D15</f>
        <v>4051.96</v>
      </c>
      <c r="E42" s="16">
        <f>'Income Statement'!E15</f>
        <v>5366.2</v>
      </c>
      <c r="F42" s="16">
        <f>'Income Statement'!F15</f>
        <v>4982.9400000000005</v>
      </c>
      <c r="G42" s="16">
        <f>'Income Statement'!G15</f>
        <v>7200.42</v>
      </c>
      <c r="I42" s="21"/>
      <c r="J42" s="22"/>
      <c r="K42" s="22"/>
      <c r="L42" s="23"/>
    </row>
    <row r="43" spans="2:12" ht="19.5" thickBot="1" x14ac:dyDescent="0.3">
      <c r="B43" s="17" t="s">
        <v>159</v>
      </c>
      <c r="C43" s="28">
        <f>ROUND(C41- C42, 2)</f>
        <v>8748.44</v>
      </c>
      <c r="D43" s="28">
        <f t="shared" ref="D43:G43" si="9">ROUND(D41- D42, 2)</f>
        <v>14345.33</v>
      </c>
      <c r="E43" s="28">
        <f t="shared" si="9"/>
        <v>20856.87</v>
      </c>
      <c r="F43" s="28">
        <f t="shared" si="9"/>
        <v>21521.58</v>
      </c>
      <c r="G43" s="28">
        <f t="shared" si="9"/>
        <v>23538.73</v>
      </c>
      <c r="I43" s="24"/>
      <c r="J43" s="25"/>
      <c r="K43" s="25"/>
      <c r="L43" s="26"/>
    </row>
    <row r="44" spans="2:12" ht="15.75" thickTop="1" x14ac:dyDescent="0.25"/>
    <row r="45" spans="2:12" ht="19.5" thickBot="1" x14ac:dyDescent="0.3">
      <c r="B45" s="14" t="s">
        <v>160</v>
      </c>
      <c r="C45" s="14"/>
      <c r="D45" s="14"/>
      <c r="E45" s="14"/>
      <c r="F45" s="14"/>
      <c r="G45" s="14"/>
    </row>
    <row r="46" spans="2:12" ht="19.5" thickTop="1" x14ac:dyDescent="0.25">
      <c r="B46" s="15" t="str">
        <f>'Income Statement'!B27</f>
        <v>Reported Net Profit(PAT)</v>
      </c>
      <c r="C46" s="16">
        <f>'Income Statement'!C27</f>
        <v>2613.8200000000015</v>
      </c>
      <c r="D46" s="16">
        <f>'Income Statement'!D27</f>
        <v>5406.4900000000025</v>
      </c>
      <c r="E46" s="16">
        <f>'Income Statement'!E27</f>
        <v>9042.5299999999988</v>
      </c>
      <c r="F46" s="16">
        <f>'Income Statement'!F27</f>
        <v>10224.819999999998</v>
      </c>
      <c r="G46" s="16">
        <f>'Income Statement'!G27</f>
        <v>10938.36</v>
      </c>
      <c r="I46" s="18"/>
      <c r="J46" s="19"/>
      <c r="K46" s="19"/>
      <c r="L46" s="20"/>
    </row>
    <row r="47" spans="2:12" ht="18.75" x14ac:dyDescent="0.25">
      <c r="B47" s="15" t="str">
        <f>'Balance Sheet'!B40</f>
        <v>Total Assets</v>
      </c>
      <c r="C47" s="16">
        <f>'Balance Sheet'!C40</f>
        <v>86824.34</v>
      </c>
      <c r="D47" s="16">
        <f>'Balance Sheet'!D40</f>
        <v>126209.26000000002</v>
      </c>
      <c r="E47" s="16">
        <f>'Balance Sheet'!E40</f>
        <v>161639.59</v>
      </c>
      <c r="F47" s="16">
        <f>'Balance Sheet'!F40</f>
        <v>174409.7</v>
      </c>
      <c r="G47" s="16">
        <f>'Balance Sheet'!G40</f>
        <v>219532.61000000004</v>
      </c>
      <c r="I47" s="21"/>
      <c r="J47" s="22"/>
      <c r="K47" s="22"/>
      <c r="L47" s="23"/>
    </row>
    <row r="48" spans="2:12" ht="19.5" thickBot="1" x14ac:dyDescent="0.3">
      <c r="B48" s="17" t="s">
        <v>161</v>
      </c>
      <c r="C48" s="27">
        <f>ROUND(C46/ C47, 2)</f>
        <v>0.03</v>
      </c>
      <c r="D48" s="27">
        <f t="shared" ref="D48:G48" si="10">ROUND(D46/ D47, 2)</f>
        <v>0.04</v>
      </c>
      <c r="E48" s="27">
        <f t="shared" si="10"/>
        <v>0.06</v>
      </c>
      <c r="F48" s="27">
        <f t="shared" si="10"/>
        <v>0.06</v>
      </c>
      <c r="G48" s="27">
        <f t="shared" si="10"/>
        <v>0.05</v>
      </c>
      <c r="I48" s="24"/>
      <c r="J48" s="25"/>
      <c r="K48" s="25"/>
      <c r="L48" s="26"/>
    </row>
    <row r="49" spans="2:12" ht="15.75" thickTop="1" x14ac:dyDescent="0.25"/>
    <row r="50" spans="2:12" ht="18.75" x14ac:dyDescent="0.25">
      <c r="B50" s="14" t="s">
        <v>162</v>
      </c>
      <c r="C50" s="14"/>
      <c r="D50" s="14"/>
      <c r="E50" s="14"/>
      <c r="F50" s="14"/>
      <c r="G50" s="14"/>
    </row>
    <row r="51" spans="2:12" ht="19.5" thickBot="1" x14ac:dyDescent="0.3">
      <c r="B51" s="15" t="str">
        <f>'Income Statement'!B19</f>
        <v>PBIT</v>
      </c>
      <c r="C51" s="16">
        <f>'Income Statement'!C19</f>
        <v>8670.2400000000016</v>
      </c>
      <c r="D51" s="16">
        <f>'Income Statement'!D19</f>
        <v>14214.220000000003</v>
      </c>
      <c r="E51" s="16">
        <f>'Income Statement'!E19</f>
        <v>20574.109999999997</v>
      </c>
      <c r="F51" s="16">
        <f>'Income Statement'!F19</f>
        <v>21211.26</v>
      </c>
      <c r="G51" s="16">
        <f>'Income Statement'!G19</f>
        <v>23162.15</v>
      </c>
    </row>
    <row r="52" spans="2:12" ht="19.5" thickTop="1" x14ac:dyDescent="0.25">
      <c r="B52" s="15" t="str">
        <f>'Balance Sheet'!B13</f>
        <v>Total Debt</v>
      </c>
      <c r="C52" s="16">
        <f>'Balance Sheet'!C13</f>
        <v>56653.42</v>
      </c>
      <c r="D52" s="16">
        <f>'Balance Sheet'!D13</f>
        <v>101587.85</v>
      </c>
      <c r="E52" s="16">
        <f>'Balance Sheet'!E13</f>
        <v>129806.43</v>
      </c>
      <c r="F52" s="16">
        <f>'Balance Sheet'!F13</f>
        <v>131645.38</v>
      </c>
      <c r="G52" s="16">
        <f>'Balance Sheet'!G13</f>
        <v>85163.08</v>
      </c>
      <c r="I52" s="18"/>
      <c r="J52" s="19"/>
      <c r="K52" s="19"/>
      <c r="L52" s="20"/>
    </row>
    <row r="53" spans="2:12" ht="18.75" x14ac:dyDescent="0.25">
      <c r="B53" s="15" t="str">
        <f>'Balance Sheet'!B9</f>
        <v>Net Worth</v>
      </c>
      <c r="C53" s="16">
        <f>'Balance Sheet'!C9</f>
        <v>16545.649999999998</v>
      </c>
      <c r="D53" s="16">
        <f>'Balance Sheet'!D9</f>
        <v>21673.77</v>
      </c>
      <c r="E53" s="16">
        <f>'Balance Sheet'!E9</f>
        <v>29576.09</v>
      </c>
      <c r="F53" s="16">
        <f>'Balance Sheet'!F9</f>
        <v>39801.24</v>
      </c>
      <c r="G53" s="16">
        <f>'Balance Sheet'!G9</f>
        <v>50739.94</v>
      </c>
      <c r="I53" s="21"/>
      <c r="J53" s="22"/>
      <c r="K53" s="22"/>
      <c r="L53" s="23"/>
    </row>
    <row r="54" spans="2:12" ht="19.5" thickBot="1" x14ac:dyDescent="0.3">
      <c r="B54" s="17" t="s">
        <v>163</v>
      </c>
      <c r="C54" s="27">
        <f>ROUND(C51/ (C52+ C52), 2)</f>
        <v>0.08</v>
      </c>
      <c r="D54" s="27">
        <f t="shared" ref="D54:G54" si="11">ROUND(D51/ (D52+ D52), 2)</f>
        <v>7.0000000000000007E-2</v>
      </c>
      <c r="E54" s="27">
        <f t="shared" si="11"/>
        <v>0.08</v>
      </c>
      <c r="F54" s="27">
        <f t="shared" si="11"/>
        <v>0.08</v>
      </c>
      <c r="G54" s="27">
        <f t="shared" si="11"/>
        <v>0.14000000000000001</v>
      </c>
      <c r="I54" s="24"/>
      <c r="J54" s="25"/>
      <c r="K54" s="25"/>
      <c r="L54" s="26"/>
    </row>
    <row r="55" spans="2:12" ht="15.75" thickTop="1" x14ac:dyDescent="0.25"/>
    <row r="56" spans="2:12" ht="19.5" thickBot="1" x14ac:dyDescent="0.3">
      <c r="B56" s="14" t="s">
        <v>164</v>
      </c>
      <c r="C56" s="14"/>
      <c r="D56" s="14"/>
      <c r="E56" s="14"/>
      <c r="F56" s="14"/>
      <c r="G56" s="14"/>
    </row>
    <row r="57" spans="2:12" ht="19.5" thickTop="1" x14ac:dyDescent="0.25">
      <c r="B57" s="15" t="str">
        <f>'Income Statement'!B27</f>
        <v>Reported Net Profit(PAT)</v>
      </c>
      <c r="C57" s="16">
        <f>'Income Statement'!C27</f>
        <v>2613.8200000000015</v>
      </c>
      <c r="D57" s="16">
        <f>'Income Statement'!D27</f>
        <v>5406.4900000000025</v>
      </c>
      <c r="E57" s="16">
        <f>'Income Statement'!E27</f>
        <v>9042.5299999999988</v>
      </c>
      <c r="F57" s="16">
        <f>'Income Statement'!F27</f>
        <v>10224.819999999998</v>
      </c>
      <c r="G57" s="16">
        <f>'Income Statement'!G27</f>
        <v>10938.36</v>
      </c>
      <c r="I57" s="18"/>
      <c r="J57" s="19"/>
      <c r="K57" s="19"/>
      <c r="L57" s="20"/>
    </row>
    <row r="58" spans="2:12" ht="18.75" x14ac:dyDescent="0.25">
      <c r="B58" s="15" t="str">
        <f>'Balance Sheet'!B9</f>
        <v>Net Worth</v>
      </c>
      <c r="C58" s="16">
        <f>'Balance Sheet'!C9</f>
        <v>16545.649999999998</v>
      </c>
      <c r="D58" s="16">
        <f>'Balance Sheet'!D9</f>
        <v>21673.77</v>
      </c>
      <c r="E58" s="16">
        <f>'Balance Sheet'!E9</f>
        <v>29576.09</v>
      </c>
      <c r="F58" s="16">
        <f>'Balance Sheet'!F9</f>
        <v>39801.24</v>
      </c>
      <c r="G58" s="16">
        <f>'Balance Sheet'!G9</f>
        <v>50739.94</v>
      </c>
      <c r="I58" s="21"/>
      <c r="J58" s="22"/>
      <c r="K58" s="22"/>
      <c r="L58" s="23"/>
    </row>
    <row r="59" spans="2:12" ht="19.5" thickBot="1" x14ac:dyDescent="0.3">
      <c r="B59" s="17" t="s">
        <v>165</v>
      </c>
      <c r="C59" s="27">
        <f>ROUND(C57/ (C58+ C58), 2)</f>
        <v>0.08</v>
      </c>
      <c r="D59" s="27">
        <f t="shared" ref="D59:G59" si="12">ROUND(D57/ (D58+ D58), 2)</f>
        <v>0.12</v>
      </c>
      <c r="E59" s="27">
        <f t="shared" si="12"/>
        <v>0.15</v>
      </c>
      <c r="F59" s="27">
        <f t="shared" si="12"/>
        <v>0.13</v>
      </c>
      <c r="G59" s="27">
        <f t="shared" si="12"/>
        <v>0.11</v>
      </c>
      <c r="I59" s="24"/>
      <c r="J59" s="25"/>
      <c r="K59" s="25"/>
      <c r="L59" s="26"/>
    </row>
    <row r="60" spans="2:12" ht="15.75" thickTop="1" x14ac:dyDescent="0.25"/>
    <row r="61" spans="2:12" ht="19.5" thickBot="1" x14ac:dyDescent="0.3">
      <c r="B61" s="14" t="s">
        <v>166</v>
      </c>
      <c r="C61" s="14"/>
      <c r="D61" s="14"/>
      <c r="E61" s="14"/>
      <c r="F61" s="14"/>
      <c r="G61" s="14"/>
    </row>
    <row r="62" spans="2:12" ht="19.5" thickTop="1" x14ac:dyDescent="0.25">
      <c r="B62" s="15" t="str">
        <f>'Balance Sheet'!B13</f>
        <v>Total Debt</v>
      </c>
      <c r="C62" s="16">
        <f>'Balance Sheet'!C13</f>
        <v>56653.42</v>
      </c>
      <c r="D62" s="16">
        <f>'Balance Sheet'!D13</f>
        <v>101587.85</v>
      </c>
      <c r="E62" s="16">
        <f>'Balance Sheet'!E13</f>
        <v>129806.43</v>
      </c>
      <c r="F62" s="16">
        <f>'Balance Sheet'!F13</f>
        <v>131645.38</v>
      </c>
      <c r="G62" s="16">
        <f>'Balance Sheet'!G13</f>
        <v>85163.08</v>
      </c>
      <c r="I62" s="18"/>
      <c r="J62" s="19"/>
      <c r="K62" s="19"/>
      <c r="L62" s="20"/>
    </row>
    <row r="63" spans="2:12" ht="18.75" x14ac:dyDescent="0.25">
      <c r="B63" s="15" t="str">
        <f>'Balance Sheet'!B9</f>
        <v>Net Worth</v>
      </c>
      <c r="C63" s="16">
        <f>'Balance Sheet'!C9</f>
        <v>16545.649999999998</v>
      </c>
      <c r="D63" s="16">
        <f>'Balance Sheet'!D9</f>
        <v>21673.77</v>
      </c>
      <c r="E63" s="16">
        <f>'Balance Sheet'!E9</f>
        <v>29576.09</v>
      </c>
      <c r="F63" s="16">
        <f>'Balance Sheet'!F9</f>
        <v>39801.24</v>
      </c>
      <c r="G63" s="16">
        <f>'Balance Sheet'!G9</f>
        <v>50739.94</v>
      </c>
      <c r="I63" s="21"/>
      <c r="J63" s="22"/>
      <c r="K63" s="22"/>
      <c r="L63" s="23"/>
    </row>
    <row r="64" spans="2:12" ht="19.5" thickBot="1" x14ac:dyDescent="0.3">
      <c r="B64" s="17" t="s">
        <v>167</v>
      </c>
      <c r="C64" s="17">
        <f>ROUND(C62/ C63, 2)</f>
        <v>3.42</v>
      </c>
      <c r="D64" s="17">
        <f t="shared" ref="D64:G64" si="13">ROUND(D62/ D63, 2)</f>
        <v>4.6900000000000004</v>
      </c>
      <c r="E64" s="17">
        <f t="shared" si="13"/>
        <v>4.3899999999999997</v>
      </c>
      <c r="F64" s="17">
        <f t="shared" si="13"/>
        <v>3.31</v>
      </c>
      <c r="G64" s="17">
        <f t="shared" si="13"/>
        <v>1.68</v>
      </c>
      <c r="I64" s="24"/>
      <c r="J64" s="25"/>
      <c r="K64" s="25"/>
      <c r="L64" s="26"/>
    </row>
    <row r="65" spans="2:12" ht="15.75" thickTop="1" x14ac:dyDescent="0.25"/>
    <row r="66" spans="2:12" ht="19.5" thickBot="1" x14ac:dyDescent="0.3">
      <c r="B66" s="14" t="s">
        <v>168</v>
      </c>
      <c r="C66" s="14"/>
      <c r="D66" s="14"/>
      <c r="E66" s="14"/>
      <c r="F66" s="14"/>
      <c r="G66" s="14"/>
    </row>
    <row r="67" spans="2:12" ht="19.5" thickTop="1" x14ac:dyDescent="0.25">
      <c r="B67" s="15" t="str">
        <f>'Balance Sheet'!B39</f>
        <v>Total Current Assets</v>
      </c>
      <c r="C67" s="16">
        <f>'Balance Sheet'!C39</f>
        <v>83208.11</v>
      </c>
      <c r="D67" s="16">
        <f>'Balance Sheet'!D39</f>
        <v>117062.81000000003</v>
      </c>
      <c r="E67" s="16">
        <f>'Balance Sheet'!E39</f>
        <v>143216.75</v>
      </c>
      <c r="F67" s="16">
        <f>'Balance Sheet'!F39</f>
        <v>155457.34</v>
      </c>
      <c r="G67" s="16">
        <f>'Balance Sheet'!G39</f>
        <v>206688.52000000005</v>
      </c>
      <c r="I67" s="18"/>
      <c r="J67" s="19"/>
      <c r="K67" s="19"/>
      <c r="L67" s="20"/>
    </row>
    <row r="68" spans="2:12" ht="18.75" x14ac:dyDescent="0.25">
      <c r="B68" s="15" t="str">
        <f>'Balance Sheet'!B19</f>
        <v>Total Current Liabilities</v>
      </c>
      <c r="C68" s="16">
        <f>'Balance Sheet'!C19</f>
        <v>13625.27</v>
      </c>
      <c r="D68" s="16">
        <f>'Balance Sheet'!D19</f>
        <v>2947.6400000000003</v>
      </c>
      <c r="E68" s="16">
        <f>'Balance Sheet'!E19</f>
        <v>2257.0699999999997</v>
      </c>
      <c r="F68" s="16">
        <f>'Balance Sheet'!F19</f>
        <v>2963.08</v>
      </c>
      <c r="G68" s="16">
        <f>'Balance Sheet'!G19</f>
        <v>83629.59</v>
      </c>
      <c r="I68" s="21"/>
      <c r="J68" s="22"/>
      <c r="K68" s="22"/>
      <c r="L68" s="23"/>
    </row>
    <row r="69" spans="2:12" ht="19.5" thickBot="1" x14ac:dyDescent="0.3">
      <c r="B69" s="17" t="s">
        <v>169</v>
      </c>
      <c r="C69" s="17">
        <f>ROUND(C67/ C68, 2)</f>
        <v>6.11</v>
      </c>
      <c r="D69" s="17">
        <f t="shared" ref="D69:G69" si="14">ROUND(D67/ D68, 2)</f>
        <v>39.71</v>
      </c>
      <c r="E69" s="17">
        <f t="shared" si="14"/>
        <v>63.45</v>
      </c>
      <c r="F69" s="17">
        <f t="shared" si="14"/>
        <v>52.46</v>
      </c>
      <c r="G69" s="17">
        <f t="shared" si="14"/>
        <v>2.4700000000000002</v>
      </c>
      <c r="I69" s="24"/>
      <c r="J69" s="25"/>
      <c r="K69" s="25"/>
      <c r="L69" s="26"/>
    </row>
    <row r="70" spans="2:12" ht="15.75" thickTop="1" x14ac:dyDescent="0.25"/>
    <row r="71" spans="2:12" ht="18.75" x14ac:dyDescent="0.25">
      <c r="B71" s="14" t="s">
        <v>170</v>
      </c>
      <c r="C71" s="14"/>
      <c r="D71" s="14"/>
      <c r="E71" s="14"/>
      <c r="F71" s="14"/>
      <c r="G71" s="14"/>
    </row>
    <row r="72" spans="2:12" ht="19.5" thickBot="1" x14ac:dyDescent="0.3">
      <c r="B72" s="15" t="str">
        <f>'Balance Sheet'!B39</f>
        <v>Total Current Assets</v>
      </c>
      <c r="C72" s="16">
        <f>'Balance Sheet'!C39</f>
        <v>83208.11</v>
      </c>
      <c r="D72" s="16">
        <f>'Balance Sheet'!D39</f>
        <v>117062.81000000003</v>
      </c>
      <c r="E72" s="16">
        <f>'Balance Sheet'!E39</f>
        <v>143216.75</v>
      </c>
      <c r="F72" s="16">
        <f>'Balance Sheet'!F39</f>
        <v>155457.34</v>
      </c>
      <c r="G72" s="16">
        <f>'Balance Sheet'!G39</f>
        <v>206688.52000000005</v>
      </c>
    </row>
    <row r="73" spans="2:12" ht="19.5" thickTop="1" x14ac:dyDescent="0.25">
      <c r="B73" s="15" t="str">
        <f>'Balance Sheet'!B36</f>
        <v>Inventories</v>
      </c>
      <c r="C73" s="16">
        <f>'Balance Sheet'!C36</f>
        <v>0</v>
      </c>
      <c r="D73" s="16">
        <f>'Balance Sheet'!D36</f>
        <v>0</v>
      </c>
      <c r="E73" s="16">
        <f>'Balance Sheet'!E36</f>
        <v>0</v>
      </c>
      <c r="F73" s="16">
        <f>'Balance Sheet'!F36</f>
        <v>0</v>
      </c>
      <c r="G73" s="16">
        <f>'Balance Sheet'!G36</f>
        <v>0</v>
      </c>
      <c r="I73" s="18"/>
      <c r="J73" s="19"/>
      <c r="K73" s="19"/>
      <c r="L73" s="20"/>
    </row>
    <row r="74" spans="2:12" ht="18.75" x14ac:dyDescent="0.25">
      <c r="B74" s="15" t="str">
        <f>'Balance Sheet'!B19</f>
        <v>Total Current Liabilities</v>
      </c>
      <c r="C74" s="16">
        <f>'Balance Sheet'!C19</f>
        <v>13625.27</v>
      </c>
      <c r="D74" s="16">
        <f>'Balance Sheet'!D19</f>
        <v>2947.6400000000003</v>
      </c>
      <c r="E74" s="16">
        <f>'Balance Sheet'!E19</f>
        <v>2257.0699999999997</v>
      </c>
      <c r="F74" s="16">
        <f>'Balance Sheet'!F19</f>
        <v>2963.08</v>
      </c>
      <c r="G74" s="16">
        <f>'Balance Sheet'!G19</f>
        <v>83629.59</v>
      </c>
      <c r="I74" s="21"/>
      <c r="J74" s="22"/>
      <c r="K74" s="22"/>
      <c r="L74" s="23"/>
    </row>
    <row r="75" spans="2:12" ht="19.5" thickBot="1" x14ac:dyDescent="0.3">
      <c r="B75" s="17" t="s">
        <v>171</v>
      </c>
      <c r="C75" s="17">
        <f>ROUND((C72-C73)/ C74, 2)</f>
        <v>6.11</v>
      </c>
      <c r="D75" s="17">
        <f t="shared" ref="D75:G75" si="15">ROUND((D72-D73)/ D74, 2)</f>
        <v>39.71</v>
      </c>
      <c r="E75" s="17">
        <f t="shared" si="15"/>
        <v>63.45</v>
      </c>
      <c r="F75" s="17">
        <f t="shared" si="15"/>
        <v>52.46</v>
      </c>
      <c r="G75" s="17">
        <f t="shared" si="15"/>
        <v>2.4700000000000002</v>
      </c>
      <c r="I75" s="24"/>
      <c r="J75" s="25"/>
      <c r="K75" s="25"/>
      <c r="L75" s="26"/>
    </row>
    <row r="76" spans="2:12" ht="15.75" thickTop="1" x14ac:dyDescent="0.25"/>
    <row r="77" spans="2:12" ht="19.5" thickBot="1" x14ac:dyDescent="0.3">
      <c r="B77" s="14" t="s">
        <v>172</v>
      </c>
      <c r="C77" s="14"/>
      <c r="D77" s="14"/>
      <c r="E77" s="14"/>
      <c r="F77" s="14"/>
      <c r="G77" s="14"/>
    </row>
    <row r="78" spans="2:12" ht="19.5" thickTop="1" x14ac:dyDescent="0.25">
      <c r="B78" s="15" t="str">
        <f>'Income Statement'!B19</f>
        <v>PBIT</v>
      </c>
      <c r="C78" s="16">
        <f>'Income Statement'!C19</f>
        <v>8670.2400000000016</v>
      </c>
      <c r="D78" s="16">
        <f>'Income Statement'!D19</f>
        <v>14214.220000000003</v>
      </c>
      <c r="E78" s="16">
        <f>'Income Statement'!E19</f>
        <v>20574.109999999997</v>
      </c>
      <c r="F78" s="16">
        <f>'Income Statement'!F19</f>
        <v>21211.26</v>
      </c>
      <c r="G78" s="16">
        <f>'Income Statement'!G19</f>
        <v>23162.15</v>
      </c>
      <c r="I78" s="18"/>
      <c r="J78" s="19"/>
      <c r="K78" s="19"/>
      <c r="L78" s="20"/>
    </row>
    <row r="79" spans="2:12" ht="18.75" x14ac:dyDescent="0.25">
      <c r="B79" s="15" t="str">
        <f>'Income Statement'!B20</f>
        <v>Finance Costs</v>
      </c>
      <c r="C79" s="16">
        <f>'Income Statement'!C20</f>
        <v>4634.33</v>
      </c>
      <c r="D79" s="16">
        <f>'Income Statement'!D20</f>
        <v>6623.56</v>
      </c>
      <c r="E79" s="16">
        <f>'Income Statement'!E20</f>
        <v>9473.2099999999991</v>
      </c>
      <c r="F79" s="16">
        <f>'Income Statement'!F20</f>
        <v>9414</v>
      </c>
      <c r="G79" s="16">
        <f>'Income Statement'!G20</f>
        <v>9748.24</v>
      </c>
      <c r="I79" s="21"/>
      <c r="J79" s="22"/>
      <c r="K79" s="22"/>
      <c r="L79" s="23"/>
    </row>
    <row r="80" spans="2:12" ht="19.5" thickBot="1" x14ac:dyDescent="0.3">
      <c r="B80" s="17" t="s">
        <v>173</v>
      </c>
      <c r="C80" s="17">
        <f>ROUND(C78/C79, 2)</f>
        <v>1.87</v>
      </c>
      <c r="D80" s="17">
        <f t="shared" ref="D80:G80" si="16">ROUND(D78/D79, 2)</f>
        <v>2.15</v>
      </c>
      <c r="E80" s="17">
        <f t="shared" si="16"/>
        <v>2.17</v>
      </c>
      <c r="F80" s="17">
        <f t="shared" si="16"/>
        <v>2.25</v>
      </c>
      <c r="G80" s="17">
        <f t="shared" si="16"/>
        <v>2.38</v>
      </c>
      <c r="I80" s="24"/>
      <c r="J80" s="25"/>
      <c r="K80" s="25"/>
      <c r="L80" s="26"/>
    </row>
    <row r="81" spans="2:12" ht="15.75" thickTop="1" x14ac:dyDescent="0.25"/>
    <row r="82" spans="2:12" ht="19.5" thickBot="1" x14ac:dyDescent="0.3">
      <c r="B82" s="14" t="s">
        <v>174</v>
      </c>
      <c r="C82" s="14"/>
      <c r="D82" s="14"/>
      <c r="E82" s="14"/>
      <c r="F82" s="14"/>
      <c r="G82" s="14"/>
    </row>
    <row r="83" spans="2:12" ht="19.5" thickTop="1" x14ac:dyDescent="0.25">
      <c r="B83" s="15" t="str">
        <f>'Income Statement'!B11</f>
        <v>Cost Of Materials Consumed</v>
      </c>
      <c r="C83" s="16">
        <f>'Income Statement'!C11</f>
        <v>0</v>
      </c>
      <c r="D83" s="16">
        <f>'Income Statement'!D11</f>
        <v>0</v>
      </c>
      <c r="E83" s="16">
        <f>'Income Statement'!E11</f>
        <v>0</v>
      </c>
      <c r="F83" s="16">
        <f>'Income Statement'!F11</f>
        <v>0</v>
      </c>
      <c r="G83" s="16">
        <f>'Income Statement'!G11</f>
        <v>0</v>
      </c>
      <c r="I83" s="18"/>
      <c r="J83" s="19"/>
      <c r="K83" s="19"/>
      <c r="L83" s="20"/>
    </row>
    <row r="84" spans="2:12" ht="18.75" x14ac:dyDescent="0.25">
      <c r="B84" s="15" t="str">
        <f>'Income Statement'!B7</f>
        <v>Net Sales</v>
      </c>
      <c r="C84" s="16">
        <f>'Income Statement'!C7</f>
        <v>12336.56</v>
      </c>
      <c r="D84" s="16">
        <f>'Income Statement'!D7</f>
        <v>18397.29</v>
      </c>
      <c r="E84" s="16">
        <f>'Income Statement'!E7</f>
        <v>26223.07</v>
      </c>
      <c r="F84" s="16">
        <f>'Income Statement'!F7</f>
        <v>26504.52</v>
      </c>
      <c r="G84" s="16">
        <f>'Income Statement'!G7</f>
        <v>30739.15</v>
      </c>
      <c r="I84" s="21"/>
      <c r="J84" s="22"/>
      <c r="K84" s="22"/>
      <c r="L84" s="23"/>
    </row>
    <row r="85" spans="2:12" ht="19.5" thickBot="1" x14ac:dyDescent="0.3">
      <c r="B85" s="17" t="s">
        <v>175</v>
      </c>
      <c r="C85" s="17">
        <f>ROUND(C83/C84, 2)</f>
        <v>0</v>
      </c>
      <c r="D85" s="17">
        <f t="shared" ref="D85:G85" si="17">ROUND(D83/D84, 2)</f>
        <v>0</v>
      </c>
      <c r="E85" s="17">
        <f t="shared" si="17"/>
        <v>0</v>
      </c>
      <c r="F85" s="17">
        <f t="shared" si="17"/>
        <v>0</v>
      </c>
      <c r="G85" s="17">
        <f t="shared" si="17"/>
        <v>0</v>
      </c>
      <c r="I85" s="24"/>
      <c r="J85" s="25"/>
      <c r="K85" s="25"/>
      <c r="L85" s="26"/>
    </row>
    <row r="86" spans="2:12" ht="15.75" thickTop="1" x14ac:dyDescent="0.25"/>
    <row r="87" spans="2:12" ht="19.5" thickBot="1" x14ac:dyDescent="0.3">
      <c r="B87" s="14" t="s">
        <v>176</v>
      </c>
      <c r="C87" s="14"/>
      <c r="D87" s="14"/>
      <c r="E87" s="14"/>
      <c r="F87" s="14"/>
      <c r="G87" s="14"/>
    </row>
    <row r="88" spans="2:12" ht="19.5" thickTop="1" x14ac:dyDescent="0.25">
      <c r="B88" s="15" t="str">
        <f>'Balance Sheet'!B38</f>
        <v>Cash And Cash Equivalents</v>
      </c>
      <c r="C88" s="16">
        <f>'Balance Sheet'!C38</f>
        <v>339.46</v>
      </c>
      <c r="D88" s="16">
        <f>'Balance Sheet'!D38</f>
        <v>2472.8800000000128</v>
      </c>
      <c r="E88" s="16">
        <f>'Balance Sheet'!E38</f>
        <v>-926.76999999998134</v>
      </c>
      <c r="F88" s="16">
        <f>'Balance Sheet'!F38</f>
        <v>5870.3200000000079</v>
      </c>
      <c r="G88" s="16">
        <f>'Balance Sheet'!G38</f>
        <v>11859.440000000024</v>
      </c>
      <c r="I88" s="18"/>
      <c r="J88" s="19"/>
      <c r="K88" s="19"/>
      <c r="L88" s="20"/>
    </row>
    <row r="89" spans="2:12" ht="18.75" x14ac:dyDescent="0.25">
      <c r="B89" s="15" t="str">
        <f>'Income Statement'!B11</f>
        <v>Cost Of Materials Consumed</v>
      </c>
      <c r="C89" s="16">
        <f>'Income Statement'!C11</f>
        <v>0</v>
      </c>
      <c r="D89" s="16">
        <f>'Income Statement'!D11</f>
        <v>0</v>
      </c>
      <c r="E89" s="16">
        <f>'Income Statement'!E11</f>
        <v>0</v>
      </c>
      <c r="F89" s="16">
        <f>'Income Statement'!F11</f>
        <v>0</v>
      </c>
      <c r="G89" s="16">
        <f>'Income Statement'!G11</f>
        <v>0</v>
      </c>
      <c r="I89" s="21"/>
      <c r="J89" s="22"/>
      <c r="K89" s="22"/>
      <c r="L89" s="23"/>
    </row>
    <row r="90" spans="2:12" ht="19.5" thickBot="1" x14ac:dyDescent="0.3">
      <c r="B90" s="17" t="s">
        <v>177</v>
      </c>
      <c r="C90" s="17" t="e">
        <f>ROUND(C88/C89*365, 2)</f>
        <v>#DIV/0!</v>
      </c>
      <c r="D90" s="17" t="e">
        <f t="shared" ref="D90:G90" si="18">ROUND(D88/D89*365, 2)</f>
        <v>#DIV/0!</v>
      </c>
      <c r="E90" s="17" t="e">
        <f t="shared" si="18"/>
        <v>#DIV/0!</v>
      </c>
      <c r="F90" s="17" t="e">
        <f t="shared" si="18"/>
        <v>#DIV/0!</v>
      </c>
      <c r="G90" s="17" t="e">
        <f t="shared" si="18"/>
        <v>#DIV/0!</v>
      </c>
      <c r="I90" s="24"/>
      <c r="J90" s="25"/>
      <c r="K90" s="25"/>
      <c r="L90" s="26"/>
    </row>
    <row r="91" spans="2:12" ht="15.75" thickTop="1" x14ac:dyDescent="0.25"/>
    <row r="92" spans="2:12" ht="19.5" thickBot="1" x14ac:dyDescent="0.3">
      <c r="B92" s="14" t="s">
        <v>178</v>
      </c>
      <c r="C92" s="14"/>
      <c r="D92" s="14"/>
      <c r="E92" s="14"/>
      <c r="F92" s="14"/>
      <c r="G92" s="14"/>
    </row>
    <row r="93" spans="2:12" ht="19.5" thickTop="1" x14ac:dyDescent="0.25">
      <c r="B93" s="15" t="str">
        <f>'Balance Sheet'!B38</f>
        <v>Cash And Cash Equivalents</v>
      </c>
      <c r="C93" s="16">
        <f>'Balance Sheet'!C38</f>
        <v>339.46</v>
      </c>
      <c r="D93" s="16">
        <f>'Balance Sheet'!D38</f>
        <v>2472.8800000000128</v>
      </c>
      <c r="E93" s="16">
        <f>'Balance Sheet'!E38</f>
        <v>-926.76999999998134</v>
      </c>
      <c r="F93" s="16">
        <f>'Balance Sheet'!F38</f>
        <v>5870.3200000000079</v>
      </c>
      <c r="G93" s="16">
        <f>'Balance Sheet'!G38</f>
        <v>11859.440000000024</v>
      </c>
      <c r="I93" s="18"/>
      <c r="J93" s="19"/>
      <c r="K93" s="19"/>
      <c r="L93" s="20"/>
    </row>
    <row r="94" spans="2:12" ht="18.75" x14ac:dyDescent="0.25">
      <c r="B94" s="15" t="s">
        <v>179</v>
      </c>
      <c r="C94" s="16">
        <v>365</v>
      </c>
      <c r="D94" s="16">
        <v>365</v>
      </c>
      <c r="E94" s="16">
        <v>365</v>
      </c>
      <c r="F94" s="16">
        <v>365</v>
      </c>
      <c r="G94" s="16">
        <v>365</v>
      </c>
      <c r="I94" s="21"/>
      <c r="J94" s="22"/>
      <c r="K94" s="22"/>
      <c r="L94" s="23"/>
    </row>
    <row r="95" spans="2:12" ht="19.5" thickBot="1" x14ac:dyDescent="0.3">
      <c r="B95" s="17" t="s">
        <v>180</v>
      </c>
      <c r="C95" s="17">
        <f>ROUND(C93/C94*365, 2)</f>
        <v>339.46</v>
      </c>
      <c r="D95" s="17">
        <f t="shared" ref="D95:G95" si="19">ROUND(D93/D94*365, 2)</f>
        <v>2472.88</v>
      </c>
      <c r="E95" s="17">
        <f t="shared" si="19"/>
        <v>-926.77</v>
      </c>
      <c r="F95" s="17">
        <f t="shared" si="19"/>
        <v>5870.32</v>
      </c>
      <c r="G95" s="17">
        <f t="shared" si="19"/>
        <v>11859.44</v>
      </c>
      <c r="I95" s="24"/>
      <c r="J95" s="25"/>
      <c r="K95" s="25"/>
      <c r="L95" s="26"/>
    </row>
    <row r="96" spans="2:12" ht="15.75" thickTop="1" x14ac:dyDescent="0.25"/>
    <row r="97" spans="2:12" ht="19.5" thickBot="1" x14ac:dyDescent="0.3">
      <c r="B97" s="14" t="s">
        <v>181</v>
      </c>
      <c r="C97" s="14"/>
      <c r="D97" s="14"/>
      <c r="E97" s="14"/>
      <c r="F97" s="14"/>
      <c r="G97" s="14"/>
    </row>
    <row r="98" spans="2:12" ht="19.5" thickTop="1" x14ac:dyDescent="0.25">
      <c r="B98" s="15" t="str">
        <f>'Income Statement'!B5</f>
        <v>Gross Sales</v>
      </c>
      <c r="C98" s="16">
        <f>'Income Statement'!C5</f>
        <v>12336.56</v>
      </c>
      <c r="D98" s="16">
        <f>'Income Statement'!D5</f>
        <v>18397.29</v>
      </c>
      <c r="E98" s="16">
        <f>'Income Statement'!E5</f>
        <v>26223.07</v>
      </c>
      <c r="F98" s="16">
        <f>'Income Statement'!F5</f>
        <v>26504.52</v>
      </c>
      <c r="G98" s="16">
        <f>'Income Statement'!G5</f>
        <v>30739.15</v>
      </c>
      <c r="I98" s="18"/>
      <c r="J98" s="19"/>
      <c r="K98" s="19"/>
      <c r="L98" s="20"/>
    </row>
    <row r="99" spans="2:12" ht="18.75" x14ac:dyDescent="0.25">
      <c r="B99" s="15" t="str">
        <f>'Balance Sheet'!B40</f>
        <v>Total Assets</v>
      </c>
      <c r="C99" s="16">
        <f>'Balance Sheet'!C40</f>
        <v>86824.34</v>
      </c>
      <c r="D99" s="16">
        <f>'Balance Sheet'!D40</f>
        <v>126209.26000000002</v>
      </c>
      <c r="E99" s="16">
        <f>'Balance Sheet'!E40</f>
        <v>161639.59</v>
      </c>
      <c r="F99" s="16">
        <f>'Balance Sheet'!F40</f>
        <v>174409.7</v>
      </c>
      <c r="G99" s="16">
        <f>'Balance Sheet'!G40</f>
        <v>219532.61000000004</v>
      </c>
      <c r="I99" s="21"/>
      <c r="J99" s="22"/>
      <c r="K99" s="22"/>
      <c r="L99" s="23"/>
    </row>
    <row r="100" spans="2:12" ht="19.5" thickBot="1" x14ac:dyDescent="0.3">
      <c r="B100" s="17" t="s">
        <v>182</v>
      </c>
      <c r="C100" s="17">
        <f>ROUND(C98/C99, 2)</f>
        <v>0.14000000000000001</v>
      </c>
      <c r="D100" s="17">
        <f t="shared" ref="D100:G100" si="20">ROUND(D98/D99, 2)</f>
        <v>0.15</v>
      </c>
      <c r="E100" s="17">
        <f t="shared" si="20"/>
        <v>0.16</v>
      </c>
      <c r="F100" s="17">
        <f t="shared" si="20"/>
        <v>0.15</v>
      </c>
      <c r="G100" s="17">
        <f t="shared" si="20"/>
        <v>0.14000000000000001</v>
      </c>
      <c r="I100" s="24"/>
      <c r="J100" s="25"/>
      <c r="K100" s="25"/>
      <c r="L100" s="26"/>
    </row>
    <row r="101" spans="2:12" ht="15.75" thickTop="1" x14ac:dyDescent="0.25"/>
    <row r="102" spans="2:12" ht="19.5" thickBot="1" x14ac:dyDescent="0.3">
      <c r="B102" s="14" t="s">
        <v>183</v>
      </c>
      <c r="C102" s="14"/>
      <c r="D102" s="14"/>
      <c r="E102" s="14"/>
      <c r="F102" s="14"/>
      <c r="G102" s="14"/>
    </row>
    <row r="103" spans="2:12" ht="19.5" thickTop="1" x14ac:dyDescent="0.25">
      <c r="B103" s="15" t="str">
        <f>'Income Statement'!B5</f>
        <v>Gross Sales</v>
      </c>
      <c r="C103" s="16">
        <f>'Income Statement'!C5</f>
        <v>12336.56</v>
      </c>
      <c r="D103" s="16">
        <f>'Income Statement'!D5</f>
        <v>18397.29</v>
      </c>
      <c r="E103" s="16">
        <f>'Income Statement'!E5</f>
        <v>26223.07</v>
      </c>
      <c r="F103" s="16">
        <f>'Income Statement'!F5</f>
        <v>26504.52</v>
      </c>
      <c r="G103" s="16">
        <f>'Income Statement'!G5</f>
        <v>30739.15</v>
      </c>
      <c r="I103" s="18"/>
      <c r="J103" s="19"/>
      <c r="K103" s="19"/>
      <c r="L103" s="20"/>
    </row>
    <row r="104" spans="2:12" ht="18.75" x14ac:dyDescent="0.25">
      <c r="B104" s="15" t="str">
        <f>'Balance Sheet'!B36</f>
        <v>Inventories</v>
      </c>
      <c r="C104" s="16">
        <f>'Balance Sheet'!C36</f>
        <v>0</v>
      </c>
      <c r="D104" s="16">
        <f>'Balance Sheet'!D36</f>
        <v>0</v>
      </c>
      <c r="E104" s="16">
        <f>'Balance Sheet'!E36</f>
        <v>0</v>
      </c>
      <c r="F104" s="16">
        <f>'Balance Sheet'!F36</f>
        <v>0</v>
      </c>
      <c r="G104" s="16">
        <f>'Balance Sheet'!G36</f>
        <v>0</v>
      </c>
      <c r="I104" s="21"/>
      <c r="J104" s="22"/>
      <c r="K104" s="22"/>
      <c r="L104" s="23"/>
    </row>
    <row r="105" spans="2:12" ht="19.5" thickBot="1" x14ac:dyDescent="0.3">
      <c r="B105" s="17" t="s">
        <v>184</v>
      </c>
      <c r="C105" s="17" t="e">
        <f>ROUND(C103/C104, 2)</f>
        <v>#DIV/0!</v>
      </c>
      <c r="D105" s="17" t="e">
        <f t="shared" ref="D105:G105" si="21">ROUND(D103/D104, 2)</f>
        <v>#DIV/0!</v>
      </c>
      <c r="E105" s="17" t="e">
        <f t="shared" si="21"/>
        <v>#DIV/0!</v>
      </c>
      <c r="F105" s="17" t="e">
        <f t="shared" si="21"/>
        <v>#DIV/0!</v>
      </c>
      <c r="G105" s="17" t="e">
        <f t="shared" si="21"/>
        <v>#DIV/0!</v>
      </c>
      <c r="I105" s="24"/>
      <c r="J105" s="25"/>
      <c r="K105" s="25"/>
      <c r="L105" s="26"/>
    </row>
    <row r="106" spans="2:12" ht="15.75" thickTop="1" x14ac:dyDescent="0.25"/>
    <row r="107" spans="2:12" ht="19.5" thickBot="1" x14ac:dyDescent="0.3">
      <c r="B107" s="14" t="s">
        <v>185</v>
      </c>
      <c r="C107" s="14"/>
      <c r="D107" s="14"/>
      <c r="E107" s="14"/>
      <c r="F107" s="14"/>
      <c r="G107" s="14"/>
    </row>
    <row r="108" spans="2:12" ht="19.5" thickTop="1" x14ac:dyDescent="0.25">
      <c r="B108" s="15" t="str">
        <f>'Income Statement'!B5</f>
        <v>Gross Sales</v>
      </c>
      <c r="C108" s="16">
        <f>'Income Statement'!C5</f>
        <v>12336.56</v>
      </c>
      <c r="D108" s="16">
        <f>'Income Statement'!D5</f>
        <v>18397.29</v>
      </c>
      <c r="E108" s="16">
        <f>'Income Statement'!E5</f>
        <v>26223.07</v>
      </c>
      <c r="F108" s="16">
        <f>'Income Statement'!F5</f>
        <v>26504.52</v>
      </c>
      <c r="G108" s="16">
        <f>'Income Statement'!G5</f>
        <v>30739.15</v>
      </c>
      <c r="I108" s="18"/>
      <c r="J108" s="19"/>
      <c r="K108" s="19"/>
      <c r="L108" s="20"/>
    </row>
    <row r="109" spans="2:12" ht="18.75" x14ac:dyDescent="0.25">
      <c r="B109" s="15" t="str">
        <f>'Balance Sheet'!B37</f>
        <v>Trade Receivables</v>
      </c>
      <c r="C109" s="16">
        <f>'Balance Sheet'!C37</f>
        <v>34332.18</v>
      </c>
      <c r="D109" s="16">
        <f>'Balance Sheet'!D37</f>
        <v>808.7</v>
      </c>
      <c r="E109" s="16">
        <f>'Balance Sheet'!E37</f>
        <v>952.56</v>
      </c>
      <c r="F109" s="16">
        <f>'Balance Sheet'!F37</f>
        <v>1107.24</v>
      </c>
      <c r="G109" s="16">
        <f>'Balance Sheet'!G37</f>
        <v>1265.8900000000001</v>
      </c>
      <c r="I109" s="21"/>
      <c r="J109" s="22"/>
      <c r="K109" s="22"/>
      <c r="L109" s="23"/>
    </row>
    <row r="110" spans="2:12" ht="19.5" thickBot="1" x14ac:dyDescent="0.3">
      <c r="B110" s="17" t="s">
        <v>186</v>
      </c>
      <c r="C110" s="17">
        <f>ROUND(C108/C109, 2)</f>
        <v>0.36</v>
      </c>
      <c r="D110" s="17">
        <f t="shared" ref="D110:G110" si="22">ROUND(D108/D109, 2)</f>
        <v>22.75</v>
      </c>
      <c r="E110" s="17">
        <f t="shared" si="22"/>
        <v>27.53</v>
      </c>
      <c r="F110" s="17">
        <f t="shared" si="22"/>
        <v>23.94</v>
      </c>
      <c r="G110" s="17">
        <f t="shared" si="22"/>
        <v>24.28</v>
      </c>
      <c r="I110" s="24"/>
      <c r="J110" s="25"/>
      <c r="K110" s="25"/>
      <c r="L110" s="26"/>
    </row>
    <row r="111" spans="2:12" ht="15.75" thickTop="1" x14ac:dyDescent="0.25"/>
    <row r="112" spans="2:12" ht="19.5" thickBot="1" x14ac:dyDescent="0.3">
      <c r="B112" s="14" t="s">
        <v>187</v>
      </c>
      <c r="C112" s="14"/>
      <c r="D112" s="14"/>
      <c r="E112" s="14"/>
      <c r="F112" s="14"/>
      <c r="G112" s="14"/>
    </row>
    <row r="113" spans="2:12" ht="19.5" thickTop="1" x14ac:dyDescent="0.25">
      <c r="B113" s="15" t="str">
        <f>'Income Statement'!B5</f>
        <v>Gross Sales</v>
      </c>
      <c r="C113" s="16">
        <f>'Income Statement'!C5</f>
        <v>12336.56</v>
      </c>
      <c r="D113" s="16">
        <f>'Income Statement'!D5</f>
        <v>18397.29</v>
      </c>
      <c r="E113" s="16">
        <f>'Income Statement'!E5</f>
        <v>26223.07</v>
      </c>
      <c r="F113" s="16">
        <f>'Income Statement'!F5</f>
        <v>26504.52</v>
      </c>
      <c r="G113" s="16">
        <f>'Income Statement'!G5</f>
        <v>30739.15</v>
      </c>
      <c r="I113" s="18"/>
      <c r="J113" s="19"/>
      <c r="K113" s="19"/>
      <c r="L113" s="20"/>
    </row>
    <row r="114" spans="2:12" ht="18.75" x14ac:dyDescent="0.25">
      <c r="B114" s="15" t="str">
        <f>'Balance Sheet'!B23</f>
        <v>Tangible Assets</v>
      </c>
      <c r="C114" s="16">
        <f>'Balance Sheet'!C23</f>
        <v>346.15</v>
      </c>
      <c r="D114" s="16">
        <f>'Balance Sheet'!D23</f>
        <v>526.51</v>
      </c>
      <c r="E114" s="16">
        <f>'Balance Sheet'!E23</f>
        <v>1097.26</v>
      </c>
      <c r="F114" s="16">
        <f>'Balance Sheet'!F23</f>
        <v>1041.69</v>
      </c>
      <c r="G114" s="16">
        <f>'Balance Sheet'!G23</f>
        <v>1747.17</v>
      </c>
      <c r="I114" s="21"/>
      <c r="J114" s="22"/>
      <c r="K114" s="22"/>
      <c r="L114" s="23"/>
    </row>
    <row r="115" spans="2:12" ht="19.5" thickBot="1" x14ac:dyDescent="0.3">
      <c r="B115" s="17" t="s">
        <v>188</v>
      </c>
      <c r="C115" s="17">
        <f>ROUND(C113/C114, 2)</f>
        <v>35.64</v>
      </c>
      <c r="D115" s="17">
        <f t="shared" ref="D115:G115" si="23">ROUND(D113/D114, 2)</f>
        <v>34.94</v>
      </c>
      <c r="E115" s="17">
        <f t="shared" si="23"/>
        <v>23.9</v>
      </c>
      <c r="F115" s="17">
        <f t="shared" si="23"/>
        <v>25.44</v>
      </c>
      <c r="G115" s="17">
        <f t="shared" si="23"/>
        <v>17.59</v>
      </c>
      <c r="I115" s="24"/>
      <c r="J115" s="25"/>
      <c r="K115" s="25"/>
      <c r="L115" s="26"/>
    </row>
    <row r="116" spans="2:12" ht="15.75" thickTop="1" x14ac:dyDescent="0.25"/>
    <row r="117" spans="2:12" ht="19.5" thickBot="1" x14ac:dyDescent="0.3">
      <c r="B117" s="14" t="s">
        <v>189</v>
      </c>
      <c r="C117" s="14"/>
      <c r="D117" s="14"/>
      <c r="E117" s="14"/>
      <c r="F117" s="14"/>
      <c r="G117" s="14"/>
    </row>
    <row r="118" spans="2:12" ht="19.5" thickTop="1" x14ac:dyDescent="0.25">
      <c r="B118" s="15" t="str">
        <f>'Income Statement'!B11</f>
        <v>Cost Of Materials Consumed</v>
      </c>
      <c r="C118" s="16">
        <f>'Income Statement'!C11</f>
        <v>0</v>
      </c>
      <c r="D118" s="16">
        <f>'Income Statement'!D11</f>
        <v>0</v>
      </c>
      <c r="E118" s="16">
        <f>'Income Statement'!E11</f>
        <v>0</v>
      </c>
      <c r="F118" s="16">
        <f>'Income Statement'!F11</f>
        <v>0</v>
      </c>
      <c r="G118" s="16">
        <f>'Income Statement'!G11</f>
        <v>0</v>
      </c>
      <c r="I118" s="18"/>
      <c r="J118" s="19"/>
      <c r="K118" s="19"/>
      <c r="L118" s="20"/>
    </row>
    <row r="119" spans="2:12" ht="18.75" x14ac:dyDescent="0.25">
      <c r="B119" s="15" t="str">
        <f>'Balance Sheet'!B19</f>
        <v>Total Current Liabilities</v>
      </c>
      <c r="C119" s="16">
        <f>'Balance Sheet'!C19</f>
        <v>13625.27</v>
      </c>
      <c r="D119" s="16">
        <f>'Balance Sheet'!D19</f>
        <v>2947.6400000000003</v>
      </c>
      <c r="E119" s="16">
        <f>'Balance Sheet'!E19</f>
        <v>2257.0699999999997</v>
      </c>
      <c r="F119" s="16">
        <f>'Balance Sheet'!F19</f>
        <v>2963.08</v>
      </c>
      <c r="G119" s="16">
        <f>'Balance Sheet'!G19</f>
        <v>83629.59</v>
      </c>
      <c r="I119" s="21"/>
      <c r="J119" s="22"/>
      <c r="K119" s="22"/>
      <c r="L119" s="23"/>
    </row>
    <row r="120" spans="2:12" ht="19.5" thickBot="1" x14ac:dyDescent="0.3">
      <c r="B120" s="17" t="s">
        <v>190</v>
      </c>
      <c r="C120" s="17">
        <f>ROUND(C118/C119, 2)</f>
        <v>0</v>
      </c>
      <c r="D120" s="17">
        <f t="shared" ref="D120:G120" si="24">ROUND(D118/D119, 2)</f>
        <v>0</v>
      </c>
      <c r="E120" s="17">
        <f t="shared" si="24"/>
        <v>0</v>
      </c>
      <c r="F120" s="17">
        <f t="shared" si="24"/>
        <v>0</v>
      </c>
      <c r="G120" s="17">
        <f t="shared" si="24"/>
        <v>0</v>
      </c>
      <c r="I120" s="24"/>
      <c r="J120" s="25"/>
      <c r="K120" s="25"/>
      <c r="L120" s="26"/>
    </row>
    <row r="121" spans="2:12" ht="15.75" thickTop="1" x14ac:dyDescent="0.25"/>
    <row r="122" spans="2:12" ht="19.5" thickBot="1" x14ac:dyDescent="0.3">
      <c r="B122" s="14" t="s">
        <v>191</v>
      </c>
      <c r="C122" s="14"/>
      <c r="D122" s="14"/>
      <c r="E122" s="14"/>
      <c r="F122" s="14"/>
      <c r="G122" s="14"/>
    </row>
    <row r="123" spans="2:12" ht="19.5" thickTop="1" x14ac:dyDescent="0.25">
      <c r="B123" s="15" t="str">
        <f>'Income Statement'!B5</f>
        <v>Gross Sales</v>
      </c>
      <c r="C123" s="16">
        <f>'Income Statement'!C5</f>
        <v>12336.56</v>
      </c>
      <c r="D123" s="16">
        <f>'Income Statement'!D5</f>
        <v>18397.29</v>
      </c>
      <c r="E123" s="16">
        <f>'Income Statement'!E5</f>
        <v>26223.07</v>
      </c>
      <c r="F123" s="16">
        <f>'Income Statement'!F5</f>
        <v>26504.52</v>
      </c>
      <c r="G123" s="16">
        <f>'Income Statement'!G5</f>
        <v>30739.15</v>
      </c>
      <c r="I123" s="18"/>
      <c r="J123" s="19"/>
      <c r="K123" s="19"/>
      <c r="L123" s="20"/>
    </row>
    <row r="124" spans="2:12" ht="18.75" x14ac:dyDescent="0.25">
      <c r="B124" s="15" t="str">
        <f>'Balance Sheet'!B36</f>
        <v>Inventories</v>
      </c>
      <c r="C124" s="16">
        <f>'Balance Sheet'!C36</f>
        <v>0</v>
      </c>
      <c r="D124" s="16">
        <f>'Balance Sheet'!D36</f>
        <v>0</v>
      </c>
      <c r="E124" s="16">
        <f>'Balance Sheet'!E36</f>
        <v>0</v>
      </c>
      <c r="F124" s="16">
        <f>'Balance Sheet'!F36</f>
        <v>0</v>
      </c>
      <c r="G124" s="16">
        <f>'Balance Sheet'!G36</f>
        <v>0</v>
      </c>
      <c r="I124" s="21"/>
      <c r="J124" s="22"/>
      <c r="K124" s="22"/>
      <c r="L124" s="23"/>
    </row>
    <row r="125" spans="2:12" ht="19.5" thickBot="1" x14ac:dyDescent="0.3">
      <c r="B125" s="17" t="s">
        <v>192</v>
      </c>
      <c r="C125" s="17">
        <f>ROUND(365/C123*C124, 2)</f>
        <v>0</v>
      </c>
      <c r="D125" s="17">
        <f t="shared" ref="D125:G125" si="25">ROUND(365/D123*D124, 2)</f>
        <v>0</v>
      </c>
      <c r="E125" s="17">
        <f t="shared" si="25"/>
        <v>0</v>
      </c>
      <c r="F125" s="17">
        <f t="shared" si="25"/>
        <v>0</v>
      </c>
      <c r="G125" s="17">
        <f t="shared" si="25"/>
        <v>0</v>
      </c>
      <c r="I125" s="24"/>
      <c r="J125" s="25"/>
      <c r="K125" s="25"/>
      <c r="L125" s="26"/>
    </row>
    <row r="126" spans="2:12" ht="15.75" thickTop="1" x14ac:dyDescent="0.25"/>
    <row r="127" spans="2:12" ht="19.5" thickBot="1" x14ac:dyDescent="0.3">
      <c r="B127" s="14" t="s">
        <v>193</v>
      </c>
      <c r="C127" s="14"/>
      <c r="D127" s="14"/>
      <c r="E127" s="14"/>
      <c r="F127" s="14"/>
      <c r="G127" s="14"/>
    </row>
    <row r="128" spans="2:12" ht="19.5" thickTop="1" x14ac:dyDescent="0.25">
      <c r="B128" s="15" t="str">
        <f>'Income Statement'!B11</f>
        <v>Cost Of Materials Consumed</v>
      </c>
      <c r="C128" s="16">
        <f>'Income Statement'!C11</f>
        <v>0</v>
      </c>
      <c r="D128" s="16">
        <f>'Income Statement'!D11</f>
        <v>0</v>
      </c>
      <c r="E128" s="16">
        <f>'Income Statement'!E11</f>
        <v>0</v>
      </c>
      <c r="F128" s="16">
        <f>'Income Statement'!F11</f>
        <v>0</v>
      </c>
      <c r="G128" s="16">
        <f>'Income Statement'!G11</f>
        <v>0</v>
      </c>
      <c r="I128" s="18"/>
      <c r="J128" s="19"/>
      <c r="K128" s="19"/>
      <c r="L128" s="20"/>
    </row>
    <row r="129" spans="2:12" ht="18.75" x14ac:dyDescent="0.25">
      <c r="B129" s="15" t="str">
        <f>'Balance Sheet'!B19</f>
        <v>Total Current Liabilities</v>
      </c>
      <c r="C129" s="16">
        <f>'Balance Sheet'!C19</f>
        <v>13625.27</v>
      </c>
      <c r="D129" s="16">
        <f>'Balance Sheet'!D19</f>
        <v>2947.6400000000003</v>
      </c>
      <c r="E129" s="16">
        <f>'Balance Sheet'!E19</f>
        <v>2257.0699999999997</v>
      </c>
      <c r="F129" s="16">
        <f>'Balance Sheet'!F19</f>
        <v>2963.08</v>
      </c>
      <c r="G129" s="16">
        <f>'Balance Sheet'!G19</f>
        <v>83629.59</v>
      </c>
      <c r="I129" s="21"/>
      <c r="J129" s="22"/>
      <c r="K129" s="22"/>
      <c r="L129" s="23"/>
    </row>
    <row r="130" spans="2:12" ht="19.5" thickBot="1" x14ac:dyDescent="0.3">
      <c r="B130" s="17" t="s">
        <v>194</v>
      </c>
      <c r="C130" s="17" t="e">
        <f>ROUND(365/C128*C129, 2)</f>
        <v>#DIV/0!</v>
      </c>
      <c r="D130" s="17" t="e">
        <f t="shared" ref="D130:G130" si="26">ROUND(365/D128*D129, 2)</f>
        <v>#DIV/0!</v>
      </c>
      <c r="E130" s="17" t="e">
        <f t="shared" si="26"/>
        <v>#DIV/0!</v>
      </c>
      <c r="F130" s="17" t="e">
        <f t="shared" si="26"/>
        <v>#DIV/0!</v>
      </c>
      <c r="G130" s="17" t="e">
        <f t="shared" si="26"/>
        <v>#DIV/0!</v>
      </c>
      <c r="I130" s="24"/>
      <c r="J130" s="25"/>
      <c r="K130" s="25"/>
      <c r="L130" s="26"/>
    </row>
    <row r="131" spans="2:12" ht="15.75" thickTop="1" x14ac:dyDescent="0.25"/>
    <row r="132" spans="2:12" ht="19.5" thickBot="1" x14ac:dyDescent="0.3">
      <c r="B132" s="14" t="s">
        <v>195</v>
      </c>
      <c r="C132" s="14"/>
      <c r="D132" s="14"/>
      <c r="E132" s="14"/>
      <c r="F132" s="14"/>
      <c r="G132" s="14"/>
    </row>
    <row r="133" spans="2:12" ht="19.5" thickTop="1" x14ac:dyDescent="0.25">
      <c r="B133" s="15" t="str">
        <f>'Income Statement'!B5</f>
        <v>Gross Sales</v>
      </c>
      <c r="C133" s="16">
        <f>'Income Statement'!C5</f>
        <v>12336.56</v>
      </c>
      <c r="D133" s="16">
        <f>'Income Statement'!D5</f>
        <v>18397.29</v>
      </c>
      <c r="E133" s="16">
        <f>'Income Statement'!E5</f>
        <v>26223.07</v>
      </c>
      <c r="F133" s="16">
        <f>'Income Statement'!F5</f>
        <v>26504.52</v>
      </c>
      <c r="G133" s="16">
        <f>'Income Statement'!G5</f>
        <v>30739.15</v>
      </c>
      <c r="I133" s="18"/>
      <c r="J133" s="19"/>
      <c r="K133" s="19"/>
      <c r="L133" s="20"/>
    </row>
    <row r="134" spans="2:12" ht="18.75" x14ac:dyDescent="0.25">
      <c r="B134" s="15" t="str">
        <f>'Balance Sheet'!B37</f>
        <v>Trade Receivables</v>
      </c>
      <c r="C134" s="16">
        <f>'Balance Sheet'!C37</f>
        <v>34332.18</v>
      </c>
      <c r="D134" s="16">
        <f>'Balance Sheet'!D37</f>
        <v>808.7</v>
      </c>
      <c r="E134" s="16">
        <f>'Balance Sheet'!E37</f>
        <v>952.56</v>
      </c>
      <c r="F134" s="16">
        <f>'Balance Sheet'!F37</f>
        <v>1107.24</v>
      </c>
      <c r="G134" s="16">
        <f>'Balance Sheet'!G37</f>
        <v>1265.8900000000001</v>
      </c>
      <c r="I134" s="21"/>
      <c r="J134" s="22"/>
      <c r="K134" s="22"/>
      <c r="L134" s="23"/>
    </row>
    <row r="135" spans="2:12" ht="19.5" thickBot="1" x14ac:dyDescent="0.3">
      <c r="B135" s="17" t="s">
        <v>196</v>
      </c>
      <c r="C135" s="17">
        <f>ROUND(365/C133*C134, 2)</f>
        <v>1015.78</v>
      </c>
      <c r="D135" s="17">
        <f t="shared" ref="D135:G135" si="27">ROUND(365/D133*D134, 2)</f>
        <v>16.04</v>
      </c>
      <c r="E135" s="17">
        <f t="shared" si="27"/>
        <v>13.26</v>
      </c>
      <c r="F135" s="17">
        <f t="shared" si="27"/>
        <v>15.25</v>
      </c>
      <c r="G135" s="17">
        <f t="shared" si="27"/>
        <v>15.03</v>
      </c>
      <c r="I135" s="24"/>
      <c r="J135" s="25"/>
      <c r="K135" s="25"/>
      <c r="L135" s="26"/>
    </row>
    <row r="136" spans="2:12" ht="15.75" thickTop="1" x14ac:dyDescent="0.25"/>
    <row r="137" spans="2:12" ht="18.75" x14ac:dyDescent="0.25">
      <c r="B137" s="14" t="s">
        <v>197</v>
      </c>
      <c r="C137" s="14"/>
      <c r="D137" s="14"/>
      <c r="E137" s="14"/>
      <c r="F137" s="14"/>
      <c r="G137" s="14"/>
    </row>
    <row r="138" spans="2:12" ht="18.75" x14ac:dyDescent="0.25">
      <c r="B138" s="15" t="str">
        <f>'Income Statement'!B5</f>
        <v>Gross Sales</v>
      </c>
      <c r="C138" s="16">
        <f>'Income Statement'!C5</f>
        <v>12336.56</v>
      </c>
      <c r="D138" s="16">
        <f>'Income Statement'!D5</f>
        <v>18397.29</v>
      </c>
      <c r="E138" s="16">
        <f>'Income Statement'!E5</f>
        <v>26223.07</v>
      </c>
      <c r="F138" s="16">
        <f>'Income Statement'!F5</f>
        <v>26504.52</v>
      </c>
      <c r="G138" s="16">
        <f>'Income Statement'!G5</f>
        <v>30739.15</v>
      </c>
    </row>
    <row r="139" spans="2:12" ht="18.75" x14ac:dyDescent="0.25">
      <c r="B139" s="15" t="str">
        <f>'Balance Sheet'!B36</f>
        <v>Inventories</v>
      </c>
      <c r="C139" s="16">
        <f>'Balance Sheet'!C36</f>
        <v>0</v>
      </c>
      <c r="D139" s="16">
        <f>'Balance Sheet'!D36</f>
        <v>0</v>
      </c>
      <c r="E139" s="16">
        <f>'Balance Sheet'!E36</f>
        <v>0</v>
      </c>
      <c r="F139" s="16">
        <f>'Balance Sheet'!F36</f>
        <v>0</v>
      </c>
      <c r="G139" s="16">
        <f>'Balance Sheet'!G36</f>
        <v>0</v>
      </c>
    </row>
    <row r="140" spans="2:12" ht="18.75" x14ac:dyDescent="0.25">
      <c r="B140" s="15" t="s">
        <v>192</v>
      </c>
      <c r="C140" s="16">
        <f>ROUND(365/C138*C139, 2)</f>
        <v>0</v>
      </c>
      <c r="D140" s="16">
        <f t="shared" ref="D140:G140" si="28">ROUND(365/D138*D139, 2)</f>
        <v>0</v>
      </c>
      <c r="E140" s="16">
        <f t="shared" si="28"/>
        <v>0</v>
      </c>
      <c r="F140" s="16">
        <f t="shared" si="28"/>
        <v>0</v>
      </c>
      <c r="G140" s="16">
        <f t="shared" si="28"/>
        <v>0</v>
      </c>
    </row>
    <row r="141" spans="2:12" ht="19.5" thickBot="1" x14ac:dyDescent="0.3">
      <c r="B141" s="15" t="str">
        <f>'Income Statement'!B11</f>
        <v>Cost Of Materials Consumed</v>
      </c>
      <c r="C141" s="16">
        <f>'Income Statement'!C11</f>
        <v>0</v>
      </c>
      <c r="D141" s="16">
        <f>'Income Statement'!D11</f>
        <v>0</v>
      </c>
      <c r="E141" s="16">
        <f>'Income Statement'!E11</f>
        <v>0</v>
      </c>
      <c r="F141" s="16">
        <f>'Income Statement'!F11</f>
        <v>0</v>
      </c>
      <c r="G141" s="16">
        <f>'Income Statement'!G11</f>
        <v>0</v>
      </c>
    </row>
    <row r="142" spans="2:12" ht="19.5" thickTop="1" x14ac:dyDescent="0.25">
      <c r="B142" s="15" t="str">
        <f>'Balance Sheet'!B19</f>
        <v>Total Current Liabilities</v>
      </c>
      <c r="C142" s="16">
        <f>'Balance Sheet'!C19</f>
        <v>13625.27</v>
      </c>
      <c r="D142" s="16">
        <f>'Balance Sheet'!D19</f>
        <v>2947.6400000000003</v>
      </c>
      <c r="E142" s="16">
        <f>'Balance Sheet'!E19</f>
        <v>2257.0699999999997</v>
      </c>
      <c r="F142" s="16">
        <f>'Balance Sheet'!F19</f>
        <v>2963.08</v>
      </c>
      <c r="G142" s="16">
        <f>'Balance Sheet'!G19</f>
        <v>83629.59</v>
      </c>
      <c r="I142" s="18"/>
      <c r="J142" s="19"/>
      <c r="K142" s="19"/>
      <c r="L142" s="20"/>
    </row>
    <row r="143" spans="2:12" ht="18.75" x14ac:dyDescent="0.25">
      <c r="B143" s="15" t="s">
        <v>194</v>
      </c>
      <c r="C143" s="16" t="e">
        <f>ROUND(365/C141*C142, 2)</f>
        <v>#DIV/0!</v>
      </c>
      <c r="D143" s="16" t="e">
        <f t="shared" ref="D143:G143" si="29">ROUND(365/D141*D142, 2)</f>
        <v>#DIV/0!</v>
      </c>
      <c r="E143" s="16" t="e">
        <f t="shared" si="29"/>
        <v>#DIV/0!</v>
      </c>
      <c r="F143" s="16" t="e">
        <f t="shared" si="29"/>
        <v>#DIV/0!</v>
      </c>
      <c r="G143" s="16" t="e">
        <f t="shared" si="29"/>
        <v>#DIV/0!</v>
      </c>
      <c r="I143" s="21"/>
      <c r="J143" s="22"/>
      <c r="K143" s="22"/>
      <c r="L143" s="23"/>
    </row>
    <row r="144" spans="2:12" ht="19.5" thickBot="1" x14ac:dyDescent="0.3">
      <c r="B144" s="17" t="s">
        <v>198</v>
      </c>
      <c r="C144" s="28" t="e">
        <f>ROUND(C143+C140, 2)</f>
        <v>#DIV/0!</v>
      </c>
      <c r="D144" s="28" t="e">
        <f t="shared" ref="D144:G144" si="30">ROUND(D143+D140, 2)</f>
        <v>#DIV/0!</v>
      </c>
      <c r="E144" s="28" t="e">
        <f t="shared" si="30"/>
        <v>#DIV/0!</v>
      </c>
      <c r="F144" s="28" t="e">
        <f t="shared" si="30"/>
        <v>#DIV/0!</v>
      </c>
      <c r="G144" s="28" t="e">
        <f t="shared" si="30"/>
        <v>#DIV/0!</v>
      </c>
      <c r="I144" s="24"/>
      <c r="J144" s="25"/>
      <c r="K144" s="25"/>
      <c r="L144" s="26"/>
    </row>
    <row r="145" spans="2:12" ht="15.75" thickTop="1" x14ac:dyDescent="0.25"/>
    <row r="146" spans="2:12" ht="18.75" x14ac:dyDescent="0.25">
      <c r="B146" s="14" t="s">
        <v>199</v>
      </c>
      <c r="C146" s="14"/>
      <c r="D146" s="14"/>
      <c r="E146" s="14"/>
      <c r="F146" s="14"/>
      <c r="G146" s="14"/>
    </row>
    <row r="147" spans="2:12" ht="18.75" x14ac:dyDescent="0.25">
      <c r="B147" s="15" t="str">
        <f>'Income Statement'!B5</f>
        <v>Gross Sales</v>
      </c>
      <c r="C147" s="16">
        <f>'Income Statement'!C5</f>
        <v>12336.56</v>
      </c>
      <c r="D147" s="16">
        <f>'Income Statement'!D5</f>
        <v>18397.29</v>
      </c>
      <c r="E147" s="16">
        <f>'Income Statement'!E5</f>
        <v>26223.07</v>
      </c>
      <c r="F147" s="16">
        <f>'Income Statement'!F5</f>
        <v>26504.52</v>
      </c>
      <c r="G147" s="16">
        <f>'Income Statement'!G5</f>
        <v>30739.15</v>
      </c>
    </row>
    <row r="148" spans="2:12" ht="18.75" x14ac:dyDescent="0.25">
      <c r="B148" s="15" t="str">
        <f>'Balance Sheet'!B36</f>
        <v>Inventories</v>
      </c>
      <c r="C148" s="16">
        <f>'Balance Sheet'!C36</f>
        <v>0</v>
      </c>
      <c r="D148" s="16">
        <f>'Balance Sheet'!D36</f>
        <v>0</v>
      </c>
      <c r="E148" s="16">
        <f>'Balance Sheet'!E36</f>
        <v>0</v>
      </c>
      <c r="F148" s="16">
        <f>'Balance Sheet'!F36</f>
        <v>0</v>
      </c>
      <c r="G148" s="16">
        <f>'Balance Sheet'!G36</f>
        <v>0</v>
      </c>
    </row>
    <row r="149" spans="2:12" ht="18.75" x14ac:dyDescent="0.25">
      <c r="B149" s="15" t="s">
        <v>192</v>
      </c>
      <c r="C149" s="16">
        <f>ROUND(365/C147*C148, 2)</f>
        <v>0</v>
      </c>
      <c r="D149" s="16">
        <f t="shared" ref="D149:G149" si="31">ROUND(365/D147*D148, 2)</f>
        <v>0</v>
      </c>
      <c r="E149" s="16">
        <f t="shared" si="31"/>
        <v>0</v>
      </c>
      <c r="F149" s="16">
        <f t="shared" si="31"/>
        <v>0</v>
      </c>
      <c r="G149" s="16">
        <f t="shared" si="31"/>
        <v>0</v>
      </c>
    </row>
    <row r="150" spans="2:12" ht="18.75" x14ac:dyDescent="0.25">
      <c r="B150" s="15" t="str">
        <f>'Income Statement'!B11</f>
        <v>Cost Of Materials Consumed</v>
      </c>
      <c r="C150" s="16">
        <f>'Income Statement'!C11</f>
        <v>0</v>
      </c>
      <c r="D150" s="16">
        <f>'Income Statement'!D11</f>
        <v>0</v>
      </c>
      <c r="E150" s="16">
        <f>'Income Statement'!E11</f>
        <v>0</v>
      </c>
      <c r="F150" s="16">
        <f>'Income Statement'!F11</f>
        <v>0</v>
      </c>
      <c r="G150" s="16">
        <f>'Income Statement'!G11</f>
        <v>0</v>
      </c>
    </row>
    <row r="151" spans="2:12" ht="18.75" x14ac:dyDescent="0.25">
      <c r="B151" s="15" t="str">
        <f>'Balance Sheet'!B19</f>
        <v>Total Current Liabilities</v>
      </c>
      <c r="C151" s="16">
        <f>'Balance Sheet'!C19</f>
        <v>13625.27</v>
      </c>
      <c r="D151" s="16">
        <f>'Balance Sheet'!D19</f>
        <v>2947.6400000000003</v>
      </c>
      <c r="E151" s="16">
        <f>'Balance Sheet'!E19</f>
        <v>2257.0699999999997</v>
      </c>
      <c r="F151" s="16">
        <f>'Balance Sheet'!F19</f>
        <v>2963.08</v>
      </c>
      <c r="G151" s="16">
        <f>'Balance Sheet'!G19</f>
        <v>83629.59</v>
      </c>
    </row>
    <row r="152" spans="2:12" ht="18.75" x14ac:dyDescent="0.25">
      <c r="B152" s="15" t="s">
        <v>194</v>
      </c>
      <c r="C152" s="16" t="e">
        <f>ROUND(365/C150*C151, 2)</f>
        <v>#DIV/0!</v>
      </c>
      <c r="D152" s="16" t="e">
        <f t="shared" ref="D152:G152" si="32">ROUND(365/D150*D151, 2)</f>
        <v>#DIV/0!</v>
      </c>
      <c r="E152" s="16" t="e">
        <f t="shared" si="32"/>
        <v>#DIV/0!</v>
      </c>
      <c r="F152" s="16" t="e">
        <f t="shared" si="32"/>
        <v>#DIV/0!</v>
      </c>
      <c r="G152" s="16" t="e">
        <f t="shared" si="32"/>
        <v>#DIV/0!</v>
      </c>
    </row>
    <row r="153" spans="2:12" ht="18.75" x14ac:dyDescent="0.25">
      <c r="B153" s="15" t="s">
        <v>200</v>
      </c>
      <c r="C153" s="16" t="e">
        <f>ROUND(C152+C149, 2)</f>
        <v>#DIV/0!</v>
      </c>
      <c r="D153" s="16" t="e">
        <f t="shared" ref="D153:G153" si="33">ROUND(D152+D149, 2)</f>
        <v>#DIV/0!</v>
      </c>
      <c r="E153" s="16" t="e">
        <f t="shared" si="33"/>
        <v>#DIV/0!</v>
      </c>
      <c r="F153" s="16" t="e">
        <f t="shared" si="33"/>
        <v>#DIV/0!</v>
      </c>
      <c r="G153" s="16" t="e">
        <f t="shared" si="33"/>
        <v>#DIV/0!</v>
      </c>
    </row>
    <row r="154" spans="2:12" ht="19.5" thickBot="1" x14ac:dyDescent="0.3">
      <c r="B154" s="15" t="str">
        <f>'Income Statement'!B11</f>
        <v>Cost Of Materials Consumed</v>
      </c>
      <c r="C154" s="16">
        <f>'Income Statement'!C11</f>
        <v>0</v>
      </c>
      <c r="D154" s="16">
        <f>'Income Statement'!D11</f>
        <v>0</v>
      </c>
      <c r="E154" s="16">
        <f>'Income Statement'!E11</f>
        <v>0</v>
      </c>
      <c r="F154" s="16">
        <f>'Income Statement'!F11</f>
        <v>0</v>
      </c>
      <c r="G154" s="16">
        <f>'Income Statement'!G11</f>
        <v>0</v>
      </c>
    </row>
    <row r="155" spans="2:12" ht="19.5" thickTop="1" x14ac:dyDescent="0.25">
      <c r="B155" s="15" t="str">
        <f>'Balance Sheet'!B19</f>
        <v>Total Current Liabilities</v>
      </c>
      <c r="C155" s="16">
        <f>'Balance Sheet'!C19</f>
        <v>13625.27</v>
      </c>
      <c r="D155" s="16">
        <f>'Balance Sheet'!D19</f>
        <v>2947.6400000000003</v>
      </c>
      <c r="E155" s="16">
        <f>'Balance Sheet'!E19</f>
        <v>2257.0699999999997</v>
      </c>
      <c r="F155" s="16">
        <f>'Balance Sheet'!F19</f>
        <v>2963.08</v>
      </c>
      <c r="G155" s="16">
        <f>'Balance Sheet'!G19</f>
        <v>83629.59</v>
      </c>
      <c r="I155" s="18"/>
      <c r="J155" s="19"/>
      <c r="K155" s="19"/>
      <c r="L155" s="20"/>
    </row>
    <row r="156" spans="2:12" ht="18.75" x14ac:dyDescent="0.25">
      <c r="B156" s="15" t="s">
        <v>194</v>
      </c>
      <c r="C156" s="16" t="e">
        <f>ROUND(365/C154*C155, 2)</f>
        <v>#DIV/0!</v>
      </c>
      <c r="D156" s="16" t="e">
        <f t="shared" ref="D156:G156" si="34">ROUND(365/D154*D155, 2)</f>
        <v>#DIV/0!</v>
      </c>
      <c r="E156" s="16" t="e">
        <f t="shared" si="34"/>
        <v>#DIV/0!</v>
      </c>
      <c r="F156" s="16" t="e">
        <f t="shared" si="34"/>
        <v>#DIV/0!</v>
      </c>
      <c r="G156" s="16" t="e">
        <f t="shared" si="34"/>
        <v>#DIV/0!</v>
      </c>
      <c r="I156" s="21"/>
      <c r="J156" s="22"/>
      <c r="K156" s="22"/>
      <c r="L156" s="23"/>
    </row>
    <row r="157" spans="2:12" ht="19.5" thickBot="1" x14ac:dyDescent="0.3">
      <c r="B157" s="17" t="s">
        <v>201</v>
      </c>
      <c r="C157" s="28" t="e">
        <f>ROUND(C156-C153, 2)</f>
        <v>#DIV/0!</v>
      </c>
      <c r="D157" s="28" t="e">
        <f t="shared" ref="D157:G157" si="35">ROUND(D156-D153, 2)</f>
        <v>#DIV/0!</v>
      </c>
      <c r="E157" s="28" t="e">
        <f t="shared" si="35"/>
        <v>#DIV/0!</v>
      </c>
      <c r="F157" s="28" t="e">
        <f t="shared" si="35"/>
        <v>#DIV/0!</v>
      </c>
      <c r="G157" s="28" t="e">
        <f t="shared" si="35"/>
        <v>#DIV/0!</v>
      </c>
      <c r="I157" s="24"/>
      <c r="J157" s="25"/>
      <c r="K157" s="25"/>
      <c r="L157" s="26"/>
    </row>
    <row r="158" spans="2:12" ht="15.75" thickTop="1" x14ac:dyDescent="0.25"/>
  </sheetData>
  <mergeCells count="54">
    <mergeCell ref="B132:G132"/>
    <mergeCell ref="I133:L135"/>
    <mergeCell ref="B137:G137"/>
    <mergeCell ref="I142:L144"/>
    <mergeCell ref="B146:G146"/>
    <mergeCell ref="I155:L157"/>
    <mergeCell ref="B117:G117"/>
    <mergeCell ref="I118:L120"/>
    <mergeCell ref="B122:G122"/>
    <mergeCell ref="I123:L125"/>
    <mergeCell ref="B127:G127"/>
    <mergeCell ref="I128:L130"/>
    <mergeCell ref="B102:G102"/>
    <mergeCell ref="I103:L105"/>
    <mergeCell ref="B107:G107"/>
    <mergeCell ref="I108:L110"/>
    <mergeCell ref="B112:G112"/>
    <mergeCell ref="I113:L115"/>
    <mergeCell ref="B87:G87"/>
    <mergeCell ref="I88:L90"/>
    <mergeCell ref="B92:G92"/>
    <mergeCell ref="I93:L95"/>
    <mergeCell ref="B97:G97"/>
    <mergeCell ref="I98:L100"/>
    <mergeCell ref="B71:G71"/>
    <mergeCell ref="I73:L75"/>
    <mergeCell ref="B77:G77"/>
    <mergeCell ref="I78:L80"/>
    <mergeCell ref="B82:G82"/>
    <mergeCell ref="I83:L85"/>
    <mergeCell ref="B56:G56"/>
    <mergeCell ref="I57:L59"/>
    <mergeCell ref="B61:G61"/>
    <mergeCell ref="I62:L64"/>
    <mergeCell ref="B66:G66"/>
    <mergeCell ref="I67:L69"/>
    <mergeCell ref="B40:G40"/>
    <mergeCell ref="I41:L43"/>
    <mergeCell ref="B45:G45"/>
    <mergeCell ref="I46:L48"/>
    <mergeCell ref="B50:G50"/>
    <mergeCell ref="I52:L54"/>
    <mergeCell ref="B20:G20"/>
    <mergeCell ref="I25:L27"/>
    <mergeCell ref="B29:G29"/>
    <mergeCell ref="I31:L33"/>
    <mergeCell ref="B35:G35"/>
    <mergeCell ref="I36:L38"/>
    <mergeCell ref="B5:G5"/>
    <mergeCell ref="I6:L8"/>
    <mergeCell ref="B10:G10"/>
    <mergeCell ref="I11:L13"/>
    <mergeCell ref="B15:G15"/>
    <mergeCell ref="I16:L1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3001CDC4-F820-4246-9DCD-F052A70C1D9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  <x14:sparklineGroup type="column" displayEmptyCellsAs="gap" high="1" xr2:uid="{936D4D16-69A9-4F7D-AD1B-9A2DF305C05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4C802961-57C6-44A5-A4AA-5B12A16A568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1936319C-ED6D-46C6-B770-C647A23E25F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8143F63B-9C24-417D-A6B3-7EAD4DF36D2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8CBDA33B-BE5C-4082-88FB-D60450C633E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7C48F84C-14F1-45A4-A4B3-8D8BF5DC608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9345A08C-961A-4613-9575-F254B22676E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04CC1DC3-82F5-40B8-9758-C7D82EEC953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E8FC23DD-1DEB-4ABD-BCC7-E8471632BB9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78564C52-633E-48F6-A716-8F34EDCCDB1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B32347A5-5D49-420B-B2DD-A372174B3C4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0A352F75-3733-48F8-9B11-5E6A0A7C409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CB5E8029-BB27-40BC-BAE8-734DDCA2504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8356B4D6-A4D1-4766-BB1A-D17F4794789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EC9992D1-2011-4AD3-8F71-4CC65DC1665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2A0296B7-14F2-4AF6-B747-9C405D61AAE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DF870FCE-B249-46AC-BFB6-F096913B3F2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BEB40B95-6496-4642-B228-342043127E8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0A8CA2E4-A277-45F9-9A80-121B273C228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2D130620-0D1F-4B89-B427-8894695E2B2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BDA2E63E-44BC-45B0-AA5D-C81354E8777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7F737092-23BF-4148-B230-C443D13F024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70B20788-8320-4C58-A74C-5B27B81E763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D6F0E5CE-026D-44BC-8F46-5867D52067B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52D95DB9-D9FA-4CBF-9E54-076C7F07F36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73E59D48-ACA5-41F2-8903-BEA7C2CED2C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6E6A5-04B2-4246-B727-75FF43DCCF43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5" width="11.5703125" bestFit="1" customWidth="1"/>
    <col min="6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145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2613.8200000000015</v>
      </c>
      <c r="D6" s="16">
        <f>'Income Statement'!D27</f>
        <v>5406.4900000000025</v>
      </c>
      <c r="E6" s="16">
        <f>'Income Statement'!E27</f>
        <v>9042.5299999999988</v>
      </c>
      <c r="F6" s="16">
        <f>'Income Statement'!F27</f>
        <v>10224.819999999998</v>
      </c>
      <c r="G6" s="16">
        <f>'Income Statement'!G27</f>
        <v>10938.36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54.454583333333368</v>
      </c>
      <c r="D7" s="16">
        <f>'Income Statement'!D35</f>
        <v>78.354927536231926</v>
      </c>
      <c r="E7" s="16">
        <f>'Income Statement'!E35</f>
        <v>100.47255555555554</v>
      </c>
      <c r="F7" s="16">
        <f>'Income Statement'!F35</f>
        <v>138.17324324324321</v>
      </c>
      <c r="G7" s="16">
        <f>'Income Statement'!G35</f>
        <v>93.490256410256421</v>
      </c>
    </row>
    <row r="8" spans="2:7" ht="18.75" x14ac:dyDescent="0.25">
      <c r="B8" s="17" t="s">
        <v>146</v>
      </c>
      <c r="C8" s="17">
        <f>ROUND(C6/C7, 2)</f>
        <v>48</v>
      </c>
      <c r="D8" s="17">
        <f t="shared" ref="D8:G8" si="0">ROUND(D6/D7, 2)</f>
        <v>69</v>
      </c>
      <c r="E8" s="17">
        <f t="shared" si="0"/>
        <v>90</v>
      </c>
      <c r="F8" s="17">
        <f t="shared" si="0"/>
        <v>74</v>
      </c>
      <c r="G8" s="17">
        <f t="shared" si="0"/>
        <v>117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EEF7D-5FAC-4D00-8B7B-21EB90F5CA1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0" bestFit="1" customWidth="1"/>
    <col min="7" max="7" width="8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147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197.96</v>
      </c>
      <c r="D6" s="16">
        <f>'Income Statement'!D28</f>
        <v>231.19</v>
      </c>
      <c r="E6" s="16">
        <f>'Income Statement'!E28</f>
        <v>949.63</v>
      </c>
      <c r="F6" s="16">
        <f>'Income Statement'!F28</f>
        <v>0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54.454583333333368</v>
      </c>
      <c r="D7" s="16">
        <f>'Income Statement'!D35</f>
        <v>78.354927536231926</v>
      </c>
      <c r="E7" s="16">
        <f>'Income Statement'!E35</f>
        <v>100.47255555555554</v>
      </c>
      <c r="F7" s="16">
        <f>'Income Statement'!F35</f>
        <v>138.17324324324321</v>
      </c>
      <c r="G7" s="16">
        <f>'Income Statement'!G35</f>
        <v>93.490256410256421</v>
      </c>
    </row>
    <row r="8" spans="2:7" ht="18.75" x14ac:dyDescent="0.25">
      <c r="B8" s="17" t="s">
        <v>148</v>
      </c>
      <c r="C8" s="17">
        <f>ROUND(C6/C7, 2)</f>
        <v>3.64</v>
      </c>
      <c r="D8" s="17">
        <f t="shared" ref="D8:G8" si="0">ROUND(D6/D7, 2)</f>
        <v>2.95</v>
      </c>
      <c r="E8" s="17">
        <f t="shared" si="0"/>
        <v>9.4499999999999993</v>
      </c>
      <c r="F8" s="17">
        <f t="shared" si="0"/>
        <v>0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1457E-181F-4B8E-B859-543521994C83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149</v>
      </c>
      <c r="C5" s="14"/>
      <c r="D5" s="14"/>
      <c r="E5" s="14"/>
      <c r="F5" s="14"/>
      <c r="G5" s="14"/>
    </row>
    <row r="6" spans="2:7" ht="18.75" x14ac:dyDescent="0.25">
      <c r="B6" s="15" t="str">
        <f>'Balance Sheet'!B9</f>
        <v>Net Worth</v>
      </c>
      <c r="C6" s="16">
        <f>'Balance Sheet'!C9</f>
        <v>16545.649999999998</v>
      </c>
      <c r="D6" s="16">
        <f>'Balance Sheet'!D9</f>
        <v>21673.77</v>
      </c>
      <c r="E6" s="16">
        <f>'Balance Sheet'!E9</f>
        <v>29576.09</v>
      </c>
      <c r="F6" s="16">
        <f>'Balance Sheet'!F9</f>
        <v>39801.24</v>
      </c>
      <c r="G6" s="16">
        <f>'Balance Sheet'!G9</f>
        <v>50739.94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54.454583333333368</v>
      </c>
      <c r="D7" s="16">
        <f>'Income Statement'!D35</f>
        <v>78.354927536231926</v>
      </c>
      <c r="E7" s="16">
        <f>'Income Statement'!E35</f>
        <v>100.47255555555554</v>
      </c>
      <c r="F7" s="16">
        <f>'Income Statement'!F35</f>
        <v>138.17324324324321</v>
      </c>
      <c r="G7" s="16">
        <f>'Income Statement'!G35</f>
        <v>93.490256410256421</v>
      </c>
    </row>
    <row r="8" spans="2:7" ht="18.75" x14ac:dyDescent="0.25">
      <c r="B8" s="17" t="s">
        <v>150</v>
      </c>
      <c r="C8" s="17">
        <f>ROUND(C6/C7, 2)</f>
        <v>303.83999999999997</v>
      </c>
      <c r="D8" s="17">
        <f t="shared" ref="D8:G8" si="0">ROUND(D6/D7, 2)</f>
        <v>276.61</v>
      </c>
      <c r="E8" s="17">
        <f t="shared" si="0"/>
        <v>294.37</v>
      </c>
      <c r="F8" s="17">
        <f t="shared" si="0"/>
        <v>288.05</v>
      </c>
      <c r="G8" s="17">
        <f t="shared" si="0"/>
        <v>542.73</v>
      </c>
    </row>
  </sheetData>
  <mergeCells count="1">
    <mergeCell ref="B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45</vt:i4>
      </vt:variant>
      <vt:variant>
        <vt:lpstr>Named Ranges</vt:lpstr>
      </vt:variant>
      <vt:variant>
        <vt:i4>84</vt:i4>
      </vt:variant>
    </vt:vector>
  </HeadingPairs>
  <TitlesOfParts>
    <vt:vector size="129" baseType="lpstr">
      <vt:lpstr>BSInput</vt:lpstr>
      <vt:lpstr>ISMInput</vt:lpstr>
      <vt:lpstr>Income Statement</vt:lpstr>
      <vt:lpstr>Balance Sheet</vt:lpstr>
      <vt:lpstr>CashFlow Statement</vt:lpstr>
      <vt:lpstr>Ratios</vt:lpstr>
      <vt:lpstr>Earning  Per Share</vt:lpstr>
      <vt:lpstr>Equity Dividend Per Share</vt:lpstr>
      <vt:lpstr>Book Value  Per Share</vt:lpstr>
      <vt:lpstr>Dividend Pay Out Ratio</vt:lpstr>
      <vt:lpstr>Dividend Retention Ratio</vt:lpstr>
      <vt:lpstr>Gross Profit</vt:lpstr>
      <vt:lpstr>Net Profit</vt:lpstr>
      <vt:lpstr>Return On Assets</vt:lpstr>
      <vt:lpstr>Return On Capital Employeed</vt:lpstr>
      <vt:lpstr>Return On Equity</vt:lpstr>
      <vt:lpstr>Debt Equity Ratio</vt:lpstr>
      <vt:lpstr>Current Ratio</vt:lpstr>
      <vt:lpstr>Quick Ratio</vt:lpstr>
      <vt:lpstr>Interest Coverage Ratio</vt:lpstr>
      <vt:lpstr>Material Consumed</vt:lpstr>
      <vt:lpstr>Defensive Interval Ratio</vt:lpstr>
      <vt:lpstr>Purchases Per Day</vt:lpstr>
      <vt:lpstr>Asset TurnOver Ratio</vt:lpstr>
      <vt:lpstr>Inventory TurnOver Ratio</vt:lpstr>
      <vt:lpstr>Debtors TurnOver Ratio</vt:lpstr>
      <vt:lpstr>Fixed Assets TurnOver Ratio</vt:lpstr>
      <vt:lpstr>Payable TurnOver Ratio</vt:lpstr>
      <vt:lpstr>Inventory Days</vt:lpstr>
      <vt:lpstr>Payable Days</vt:lpstr>
      <vt:lpstr>Receivable Days</vt:lpstr>
      <vt:lpstr>Operating Cycle</vt:lpstr>
      <vt:lpstr>Cash Conversion Cycle Days</vt:lpstr>
      <vt:lpstr>NetWorthVsTotalLiabilties</vt:lpstr>
      <vt:lpstr>PBDITvsPBIT</vt:lpstr>
      <vt:lpstr>CAvsCL</vt:lpstr>
      <vt:lpstr>Long And Short Term Provisions</vt:lpstr>
      <vt:lpstr>MaterialConsumed_DirectExpenses</vt:lpstr>
      <vt:lpstr>Gross Sales In Total 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 Profit CF To Balance Sheet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2022-07-03T11:00:51Z</dcterms:created>
  <dcterms:modified xsi:type="dcterms:W3CDTF">2022-07-04T07:13:17Z</dcterms:modified>
</cp:coreProperties>
</file>