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drawings/drawing9.xml" ContentType="application/vnd.openxmlformats-officedocument.drawing+xml"/>
  <Override PartName="/xl/charts/chart9.xml" ContentType="application/vnd.openxmlformats-officedocument.drawingml.chart+xml"/>
  <Override PartName="/xl/drawings/drawing10.xml" ContentType="application/vnd.openxmlformats-officedocument.drawing+xml"/>
  <Override PartName="/xl/charts/chart10.xml" ContentType="application/vnd.openxmlformats-officedocument.drawingml.chart+xml"/>
  <Override PartName="/xl/drawings/drawing11.xml" ContentType="application/vnd.openxmlformats-officedocument.drawing+xml"/>
  <Override PartName="/xl/charts/chart11.xml" ContentType="application/vnd.openxmlformats-officedocument.drawingml.chart+xml"/>
  <Override PartName="/xl/drawings/drawing12.xml" ContentType="application/vnd.openxmlformats-officedocument.drawing+xml"/>
  <Override PartName="/xl/charts/chart12.xml" ContentType="application/vnd.openxmlformats-officedocument.drawingml.chart+xml"/>
  <Override PartName="/xl/drawings/drawing13.xml" ContentType="application/vnd.openxmlformats-officedocument.drawing+xml"/>
  <Override PartName="/xl/charts/chart13.xml" ContentType="application/vnd.openxmlformats-officedocument.drawingml.chart+xml"/>
  <Override PartName="/xl/drawings/drawing14.xml" ContentType="application/vnd.openxmlformats-officedocument.drawing+xml"/>
  <Override PartName="/xl/charts/chart14.xml" ContentType="application/vnd.openxmlformats-officedocument.drawingml.chart+xml"/>
  <Override PartName="/xl/drawings/drawing15.xml" ContentType="application/vnd.openxmlformats-officedocument.drawing+xml"/>
  <Override PartName="/xl/charts/chart15.xml" ContentType="application/vnd.openxmlformats-officedocument.drawingml.chart+xml"/>
  <Override PartName="/xl/drawings/drawing16.xml" ContentType="application/vnd.openxmlformats-officedocument.drawing+xml"/>
  <Override PartName="/xl/charts/chart16.xml" ContentType="application/vnd.openxmlformats-officedocument.drawingml.chart+xml"/>
  <Override PartName="/xl/drawings/drawing17.xml" ContentType="application/vnd.openxmlformats-officedocument.drawing+xml"/>
  <Override PartName="/xl/charts/chart17.xml" ContentType="application/vnd.openxmlformats-officedocument.drawingml.chart+xml"/>
  <Override PartName="/xl/drawings/drawing18.xml" ContentType="application/vnd.openxmlformats-officedocument.drawing+xml"/>
  <Override PartName="/xl/charts/chart18.xml" ContentType="application/vnd.openxmlformats-officedocument.drawingml.chart+xml"/>
  <Override PartName="/xl/drawings/drawing19.xml" ContentType="application/vnd.openxmlformats-officedocument.drawing+xml"/>
  <Override PartName="/xl/charts/chart19.xml" ContentType="application/vnd.openxmlformats-officedocument.drawingml.chart+xml"/>
  <Override PartName="/xl/drawings/drawing20.xml" ContentType="application/vnd.openxmlformats-officedocument.drawing+xml"/>
  <Override PartName="/xl/charts/chart20.xml" ContentType="application/vnd.openxmlformats-officedocument.drawingml.chart+xml"/>
  <Override PartName="/xl/drawings/drawing21.xml" ContentType="application/vnd.openxmlformats-officedocument.drawing+xml"/>
  <Override PartName="/xl/charts/chart21.xml" ContentType="application/vnd.openxmlformats-officedocument.drawingml.chart+xml"/>
  <Override PartName="/xl/drawings/drawing22.xml" ContentType="application/vnd.openxmlformats-officedocument.drawing+xml"/>
  <Override PartName="/xl/charts/chart22.xml" ContentType="application/vnd.openxmlformats-officedocument.drawingml.chart+xml"/>
  <Override PartName="/xl/drawings/drawing23.xml" ContentType="application/vnd.openxmlformats-officedocument.drawing+xml"/>
  <Override PartName="/xl/charts/chart23.xml" ContentType="application/vnd.openxmlformats-officedocument.drawingml.chart+xml"/>
  <Override PartName="/xl/drawings/drawing24.xml" ContentType="application/vnd.openxmlformats-officedocument.drawing+xml"/>
  <Override PartName="/xl/charts/chart24.xml" ContentType="application/vnd.openxmlformats-officedocument.drawingml.chart+xml"/>
  <Override PartName="/xl/drawings/drawing25.xml" ContentType="application/vnd.openxmlformats-officedocument.drawing+xml"/>
  <Override PartName="/xl/charts/chart25.xml" ContentType="application/vnd.openxmlformats-officedocument.drawingml.chart+xml"/>
  <Override PartName="/xl/drawings/drawing26.xml" ContentType="application/vnd.openxmlformats-officedocument.drawing+xml"/>
  <Override PartName="/xl/charts/chart26.xml" ContentType="application/vnd.openxmlformats-officedocument.drawingml.chart+xml"/>
  <Override PartName="/xl/drawings/drawing27.xml" ContentType="application/vnd.openxmlformats-officedocument.drawing+xml"/>
  <Override PartName="/xl/charts/chart27.xml" ContentType="application/vnd.openxmlformats-officedocument.drawingml.chart+xml"/>
  <Override PartName="/xl/drawings/drawing28.xml" ContentType="application/vnd.openxmlformats-officedocument.drawing+xml"/>
  <Override PartName="/xl/charts/chart28.xml" ContentType="application/vnd.openxmlformats-officedocument.drawingml.chart+xml"/>
  <Override PartName="/xl/drawings/drawing29.xml" ContentType="application/vnd.openxmlformats-officedocument.drawing+xml"/>
  <Override PartName="/xl/charts/chart29.xml" ContentType="application/vnd.openxmlformats-officedocument.drawingml.chart+xml"/>
  <Override PartName="/xl/drawings/drawing30.xml" ContentType="application/vnd.openxmlformats-officedocument.drawing+xml"/>
  <Override PartName="/xl/charts/chart30.xml" ContentType="application/vnd.openxmlformats-officedocument.drawingml.chart+xml"/>
  <Override PartName="/xl/drawings/drawing31.xml" ContentType="application/vnd.openxmlformats-officedocument.drawing+xml"/>
  <Override PartName="/xl/charts/chart31.xml" ContentType="application/vnd.openxmlformats-officedocument.drawingml.chart+xml"/>
  <Override PartName="/xl/drawings/drawing32.xml" ContentType="application/vnd.openxmlformats-officedocument.drawing+xml"/>
  <Override PartName="/xl/charts/chart32.xml" ContentType="application/vnd.openxmlformats-officedocument.drawingml.chart+xml"/>
  <Override PartName="/xl/drawings/drawing33.xml" ContentType="application/vnd.openxmlformats-officedocument.drawing+xml"/>
  <Override PartName="/xl/charts/chart33.xml" ContentType="application/vnd.openxmlformats-officedocument.drawingml.chart+xml"/>
  <Override PartName="/xl/drawings/drawing34.xml" ContentType="application/vnd.openxmlformats-officedocument.drawing+xml"/>
  <Override PartName="/xl/charts/chart34.xml" ContentType="application/vnd.openxmlformats-officedocument.drawingml.chart+xml"/>
  <Override PartName="/xl/drawings/drawing35.xml" ContentType="application/vnd.openxmlformats-officedocument.drawing+xml"/>
  <Override PartName="/xl/charts/chart35.xml" ContentType="application/vnd.openxmlformats-officedocument.drawingml.chart+xml"/>
  <Override PartName="/xl/drawings/drawing36.xml" ContentType="application/vnd.openxmlformats-officedocument.drawing+xml"/>
  <Override PartName="/xl/charts/chart36.xml" ContentType="application/vnd.openxmlformats-officedocument.drawingml.chart+xml"/>
  <Override PartName="/xl/drawings/drawing37.xml" ContentType="application/vnd.openxmlformats-officedocument.drawing+xml"/>
  <Override PartName="/xl/charts/chart37.xml" ContentType="application/vnd.openxmlformats-officedocument.drawingml.chart+xml"/>
  <Override PartName="/xl/drawings/drawing38.xml" ContentType="application/vnd.openxmlformats-officedocument.drawing+xml"/>
  <Override PartName="/xl/charts/chart38.xml" ContentType="application/vnd.openxmlformats-officedocument.drawingml.chart+xml"/>
  <Override PartName="/xl/drawings/drawing39.xml" ContentType="application/vnd.openxmlformats-officedocument.drawing+xml"/>
  <Override PartName="/xl/charts/chart39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avan\Desktop\aaa\"/>
    </mc:Choice>
  </mc:AlternateContent>
  <xr:revisionPtr revIDLastSave="0" documentId="13_ncr:1_{6C87AE76-E8CE-4FD0-B351-595E3055C363}" xr6:coauthVersionLast="47" xr6:coauthVersionMax="47" xr10:uidLastSave="{00000000-0000-0000-0000-000000000000}"/>
  <bookViews>
    <workbookView xWindow="-120" yWindow="-120" windowWidth="20730" windowHeight="11160" firstSheet="42" activeTab="44" xr2:uid="{5C8B854A-3E29-450F-837D-7AB6C6415B8E}"/>
  </bookViews>
  <sheets>
    <sheet name="BSInput" sheetId="1" r:id="rId1"/>
    <sheet name="ISMInput" sheetId="2" r:id="rId2"/>
    <sheet name="Income Statement" sheetId="3" r:id="rId3"/>
    <sheet name="Balance Sheet" sheetId="4" r:id="rId4"/>
    <sheet name="CashFlow Statement" sheetId="5" r:id="rId5"/>
    <sheet name="Ratios" sheetId="6" r:id="rId6"/>
    <sheet name="Earning  Per Share" sheetId="7" r:id="rId7"/>
    <sheet name="Equity Dividend Per Share" sheetId="8" r:id="rId8"/>
    <sheet name="Book Value  Per Share" sheetId="9" r:id="rId9"/>
    <sheet name="Dividend Pay Out Ratio" sheetId="10" r:id="rId10"/>
    <sheet name="Dividend Retention Ratio" sheetId="11" r:id="rId11"/>
    <sheet name="Gross Profit" sheetId="12" r:id="rId12"/>
    <sheet name="Net Profit" sheetId="13" r:id="rId13"/>
    <sheet name="Return On Assets" sheetId="14" r:id="rId14"/>
    <sheet name="Return On Capital Employeed" sheetId="15" r:id="rId15"/>
    <sheet name="Return On Equity" sheetId="16" r:id="rId16"/>
    <sheet name="Debt Equity Ratio" sheetId="17" r:id="rId17"/>
    <sheet name="Current Ratio" sheetId="18" r:id="rId18"/>
    <sheet name="Quick Ratio" sheetId="19" r:id="rId19"/>
    <sheet name="Interest Coverage Ratio" sheetId="20" r:id="rId20"/>
    <sheet name="Material Consumed" sheetId="21" r:id="rId21"/>
    <sheet name="Defensive Interval Ratio" sheetId="22" r:id="rId22"/>
    <sheet name="Purchases Per Day" sheetId="23" r:id="rId23"/>
    <sheet name="Asset TurnOver Ratio" sheetId="24" r:id="rId24"/>
    <sheet name="Inventory TurnOver Ratio" sheetId="25" r:id="rId25"/>
    <sheet name="Debtors TurnOver Ratio" sheetId="26" r:id="rId26"/>
    <sheet name="Fixed Assets TurnOver Ratio" sheetId="27" r:id="rId27"/>
    <sheet name="Payable TurnOver Ratio" sheetId="28" r:id="rId28"/>
    <sheet name="Inventory Days" sheetId="29" r:id="rId29"/>
    <sheet name="Payable Days" sheetId="30" r:id="rId30"/>
    <sheet name="Receivable Days" sheetId="31" r:id="rId31"/>
    <sheet name="Operating Cycle" sheetId="32" r:id="rId32"/>
    <sheet name="Cash Conversion Cycle Days" sheetId="33" r:id="rId33"/>
    <sheet name="NetWorthVsTotalLiabilties" sheetId="34" r:id="rId34"/>
    <sheet name="PBDITvsPBIT" sheetId="35" r:id="rId35"/>
    <sheet name="CAvsCL" sheetId="36" r:id="rId36"/>
    <sheet name="Long And Short Term Provisions" sheetId="37" r:id="rId37"/>
    <sheet name="MaterialConsumed_DirectExpenses" sheetId="38" r:id="rId38"/>
    <sheet name="Gross Sales In Total Income" sheetId="39" r:id="rId39"/>
    <sheet name="Total_Debt_In_Liabilities" sheetId="40" r:id="rId40"/>
    <sheet name="Total_CL_In_Liabilities" sheetId="41" r:id="rId41"/>
    <sheet name="Total_NCA_In_Assets" sheetId="42" r:id="rId42"/>
    <sheet name="Total_CA_In_Assets" sheetId="43" r:id="rId43"/>
    <sheet name="TotalExpenditureVsTotalIncome" sheetId="44" r:id="rId44"/>
    <sheet name="Net Profit CF To Balance Sheet" sheetId="45" r:id="rId45"/>
  </sheets>
  <definedNames>
    <definedName name="AmountCFtoBalanceSheet">'Income Statement'!$B$30:$G$30</definedName>
    <definedName name="AssetTurnOverRatio">'Asset TurnOver Ratio'!$B$8:$G$8</definedName>
    <definedName name="BookValuePerShare">'Book Value  Per Share'!$B$8:$G$8</definedName>
    <definedName name="CapitalWorkInProgress">'Balance Sheet'!$B$29:$G$29</definedName>
    <definedName name="CashAndCashEquivalents">'Balance Sheet'!$B$38:$G$38</definedName>
    <definedName name="CashCFtoBalanceSheet">'CashFlow Statement'!$B$48:$G$48</definedName>
    <definedName name="CostOfMaterialsConsumed">'Income Statement'!$B$11:$G$11</definedName>
    <definedName name="CurrentInvestments">'Balance Sheet'!$B$28:$G$28</definedName>
    <definedName name="CurrentRatio">'Current Ratio'!$B$8:$G$8</definedName>
    <definedName name="DebtEquityRatio">'Debt Equity Ratio'!$B$8:$G$8</definedName>
    <definedName name="DebtorsTurnOverRatio">'Debtors TurnOver Ratio'!$B$8:$G$8</definedName>
    <definedName name="DefensiveIntervalRatio">'Defensive Interval Ratio'!$B$8:$G$8</definedName>
    <definedName name="DeferredTaxAssetsNet">'Balance Sheet'!$B$31:$G$31</definedName>
    <definedName name="DeferredTaxLiabilitiesNet">'Balance Sheet'!$B$11:$G$11</definedName>
    <definedName name="Depreciation">'Balance Sheet'!$B$25:$G$25</definedName>
    <definedName name="DepreciationAndAmortisationExpenses">'Income Statement'!$B$18:$G$18</definedName>
    <definedName name="EarningPerShare">'Earning  Per Share'!$B$8:$G$8</definedName>
    <definedName name="EmployeeBenefitExpenses">'Income Statement'!$B$13:$G$13</definedName>
    <definedName name="EquityDividendPerShare">'Equity Dividend Per Share'!$B$8:$G$8</definedName>
    <definedName name="EquityShareCapital">'Balance Sheet'!$B$5:$G$5</definedName>
    <definedName name="EquityShareDividend">'Income Statement'!$B$28:$G$28</definedName>
    <definedName name="ExceptionalItems">'Income Statement'!$B$24:$G$24</definedName>
    <definedName name="ExciseDuty">'Income Statement'!$B$6:$G$6</definedName>
    <definedName name="FinanceCosts">'Income Statement'!$B$20:$G$20</definedName>
    <definedName name="GrossProfit">'Gross Profit'!$B$8:$G$8</definedName>
    <definedName name="GrossSales">'Income Statement'!$B$5:$G$5</definedName>
    <definedName name="IntangibleAssets">'Balance Sheet'!$B$24:$G$24</definedName>
    <definedName name="InterestCoverageRatio">'Interest Coverage Ratio'!$B$8:$G$8</definedName>
    <definedName name="Inventories">'Balance Sheet'!$B$36:$G$36</definedName>
    <definedName name="InventoryTurnOverRatio">'Inventory TurnOver Ratio'!$B$8:$G$8</definedName>
    <definedName name="LongTermBorrowings">'Balance Sheet'!$B$10:$G$10</definedName>
    <definedName name="LongTermLoansAndAdvances">'Balance Sheet'!$B$32:$G$32</definedName>
    <definedName name="LongTermProvisions">'Balance Sheet'!$B$14:$G$14</definedName>
    <definedName name="MaterialConsumed">'Material Consumed'!$B$8:$G$8</definedName>
    <definedName name="MinorityInterest">'Balance Sheet'!$B$20:$G$20</definedName>
    <definedName name="NetAssets">'Balance Sheet'!$B$26:$G$26</definedName>
    <definedName name="NetProfit">'Net Profit'!$B$8:$G$8</definedName>
    <definedName name="NetSales">'Income Statement'!$B$7:$G$7</definedName>
    <definedName name="NetWorth">'Balance Sheet'!$B$9:$G$9</definedName>
    <definedName name="NonCurrentInvestments">'Balance Sheet'!$B$27:$G$27</definedName>
    <definedName name="OperatingAndDirectExpenses">'Income Statement'!$B$12:$G$12</definedName>
    <definedName name="OperatingProfit">'Income Statement'!$B$16:$G$16</definedName>
    <definedName name="OtherCurrentAssets">'Balance Sheet'!$B$35:$G$35</definedName>
    <definedName name="OtherCurrentLiabilities">'Balance Sheet'!$B$18:$G$18</definedName>
    <definedName name="OtherExpenses">'Income Statement'!$B$14:$G$14</definedName>
    <definedName name="OtherIncome">'Income Statement'!$B$8:$G$8</definedName>
    <definedName name="OtherLongTermLiabilities">'Balance Sheet'!$B$16:$G$16</definedName>
    <definedName name="OtherNonCurrentAssets">'Balance Sheet'!$B$33:$G$33</definedName>
    <definedName name="PBDIT">'Income Statement'!$B$17:$G$17</definedName>
    <definedName name="PBIT">'Income Statement'!$B$19:$G$19</definedName>
    <definedName name="PBT">'Income Statement'!$B$23:$G$23</definedName>
    <definedName name="PBTPostExtraOrdinaryItems">'Income Statement'!$B$25:$G$25</definedName>
    <definedName name="PreferenceShareCapital">'Balance Sheet'!$B$6:$G$6</definedName>
    <definedName name="ProfitBeforeshareofAssociates">'Income Statement'!$B$21:$G$21</definedName>
    <definedName name="QuickRatio">'Quick Ratio'!$B$9:$G$9</definedName>
    <definedName name="ReportedNetProfitPAT">'Income Statement'!$B$27:$G$27</definedName>
    <definedName name="ReservesandSurplus">'Balance Sheet'!$B$8:$G$8</definedName>
    <definedName name="ReturnOnAssets">'Return On Assets'!$B$8:$G$8</definedName>
    <definedName name="ReturnOnCapitalEmployeed">'Return On Capital Employeed'!$B$9:$G$9</definedName>
    <definedName name="ReturnOnEquity">'Return On Equity'!$B$8:$G$8</definedName>
    <definedName name="ShareOfProfitLossOfAssociates">'Income Statement'!$B$22:$G$22</definedName>
    <definedName name="SharesOutstanding">'Income Statement'!$B$35:$G$35</definedName>
    <definedName name="ShortTermBorrowings">'Balance Sheet'!$B$12:$G$12</definedName>
    <definedName name="ShortTermLoansAndAdvances">'Balance Sheet'!$B$34:$G$34</definedName>
    <definedName name="ShortTermProvisions">'Balance Sheet'!$B$15:$G$15</definedName>
    <definedName name="StockAdjustments">'Income Statement'!$B$9:$G$9</definedName>
    <definedName name="TangibleAssets">'Balance Sheet'!$B$23:$G$23</definedName>
    <definedName name="TaxOnDividend">'Income Statement'!$B$29:$G$29</definedName>
    <definedName name="TotalAssets">'Balance Sheet'!$B$40:$G$40</definedName>
    <definedName name="TotalCashFlowfromInvestmentActivities">'CashFlow Statement'!$B$35:$G$35</definedName>
    <definedName name="TotalCashFromFinancingActivities">'CashFlow Statement'!$B$47:$G$47</definedName>
    <definedName name="TotalCashfromOperatingActivities">'CashFlow Statement'!$B$27:$G$27</definedName>
    <definedName name="TotalCurrentAssets">'Balance Sheet'!$B$39:$G$39</definedName>
    <definedName name="TotalCurrentLiabilities">'Balance Sheet'!$B$19:$G$19</definedName>
    <definedName name="TotalDebt">'Balance Sheet'!$B$13:$G$13</definedName>
    <definedName name="TotalExpenditure">'Income Statement'!$B$15:$G$15</definedName>
    <definedName name="TotalIncome">'Income Statement'!$B$10:$G$10</definedName>
    <definedName name="TotalLiabilities">'Balance Sheet'!$B$21:$G$21</definedName>
    <definedName name="TotalNonCashNonOperatingTransactions">'CashFlow Statement'!$B$10:$G$10</definedName>
    <definedName name="TotalNonCurrentAssets">'Balance Sheet'!$B$30:$G$30</definedName>
    <definedName name="TotalShareCapital">'Balance Sheet'!$B$7:$G$7</definedName>
    <definedName name="TotalTaxExpenses">'Income Statement'!$B$26:$G$26</definedName>
    <definedName name="TradePayables">'Balance Sheet'!$B$17:$G$17</definedName>
    <definedName name="TradeReceivables">'Balance Sheet'!$B$37:$G$37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5" i="45" l="1"/>
  <c r="D5" i="45"/>
  <c r="E5" i="45"/>
  <c r="F5" i="45"/>
  <c r="G5" i="45"/>
  <c r="C6" i="45"/>
  <c r="D6" i="45"/>
  <c r="E6" i="45"/>
  <c r="F6" i="45"/>
  <c r="G6" i="45"/>
  <c r="B6" i="45"/>
  <c r="B5" i="45"/>
  <c r="D4" i="45"/>
  <c r="E4" i="45"/>
  <c r="F4" i="45"/>
  <c r="G4" i="45"/>
  <c r="C4" i="45"/>
  <c r="C5" i="44"/>
  <c r="D5" i="44"/>
  <c r="E5" i="44"/>
  <c r="F5" i="44"/>
  <c r="G5" i="44"/>
  <c r="C6" i="44"/>
  <c r="D6" i="44"/>
  <c r="E6" i="44"/>
  <c r="F6" i="44"/>
  <c r="G6" i="44"/>
  <c r="B6" i="44"/>
  <c r="B5" i="44"/>
  <c r="D4" i="44"/>
  <c r="E4" i="44"/>
  <c r="F4" i="44"/>
  <c r="G4" i="44"/>
  <c r="C4" i="44"/>
  <c r="C5" i="43"/>
  <c r="D5" i="43"/>
  <c r="E5" i="43"/>
  <c r="F5" i="43"/>
  <c r="G5" i="43"/>
  <c r="C6" i="43"/>
  <c r="D6" i="43"/>
  <c r="E6" i="43"/>
  <c r="F6" i="43"/>
  <c r="G6" i="43"/>
  <c r="B6" i="43"/>
  <c r="B5" i="43"/>
  <c r="D4" i="43"/>
  <c r="E4" i="43"/>
  <c r="F4" i="43"/>
  <c r="G4" i="43"/>
  <c r="C4" i="43"/>
  <c r="C5" i="42"/>
  <c r="D5" i="42"/>
  <c r="E5" i="42"/>
  <c r="F5" i="42"/>
  <c r="G5" i="42"/>
  <c r="C6" i="42"/>
  <c r="D6" i="42"/>
  <c r="E6" i="42"/>
  <c r="F6" i="42"/>
  <c r="G6" i="42"/>
  <c r="B6" i="42"/>
  <c r="B5" i="42"/>
  <c r="D4" i="42"/>
  <c r="E4" i="42"/>
  <c r="F4" i="42"/>
  <c r="G4" i="42"/>
  <c r="C4" i="42"/>
  <c r="C5" i="41"/>
  <c r="D5" i="41"/>
  <c r="E5" i="41"/>
  <c r="F5" i="41"/>
  <c r="G5" i="41"/>
  <c r="C6" i="41"/>
  <c r="D6" i="41"/>
  <c r="E6" i="41"/>
  <c r="F6" i="41"/>
  <c r="G6" i="41"/>
  <c r="B6" i="41"/>
  <c r="B5" i="41"/>
  <c r="D4" i="41"/>
  <c r="E4" i="41"/>
  <c r="F4" i="41"/>
  <c r="G4" i="41"/>
  <c r="C4" i="41"/>
  <c r="C5" i="40"/>
  <c r="D5" i="40"/>
  <c r="E5" i="40"/>
  <c r="F5" i="40"/>
  <c r="G5" i="40"/>
  <c r="C6" i="40"/>
  <c r="D6" i="40"/>
  <c r="E6" i="40"/>
  <c r="F6" i="40"/>
  <c r="G6" i="40"/>
  <c r="B6" i="40"/>
  <c r="B5" i="40"/>
  <c r="D4" i="40"/>
  <c r="E4" i="40"/>
  <c r="F4" i="40"/>
  <c r="G4" i="40"/>
  <c r="C4" i="40"/>
  <c r="C5" i="39"/>
  <c r="D5" i="39"/>
  <c r="E5" i="39"/>
  <c r="F5" i="39"/>
  <c r="G5" i="39"/>
  <c r="C6" i="39"/>
  <c r="D6" i="39"/>
  <c r="E6" i="39"/>
  <c r="F6" i="39"/>
  <c r="G6" i="39"/>
  <c r="B6" i="39"/>
  <c r="B5" i="39"/>
  <c r="D4" i="39"/>
  <c r="E4" i="39"/>
  <c r="F4" i="39"/>
  <c r="G4" i="39"/>
  <c r="C4" i="39"/>
  <c r="C5" i="38"/>
  <c r="D5" i="38"/>
  <c r="E5" i="38"/>
  <c r="F5" i="38"/>
  <c r="G5" i="38"/>
  <c r="C6" i="38"/>
  <c r="D6" i="38"/>
  <c r="E6" i="38"/>
  <c r="F6" i="38"/>
  <c r="G6" i="38"/>
  <c r="B6" i="38"/>
  <c r="B5" i="38"/>
  <c r="D4" i="38"/>
  <c r="E4" i="38"/>
  <c r="F4" i="38"/>
  <c r="G4" i="38"/>
  <c r="C4" i="38"/>
  <c r="C5" i="37"/>
  <c r="D5" i="37"/>
  <c r="E5" i="37"/>
  <c r="F5" i="37"/>
  <c r="G5" i="37"/>
  <c r="C6" i="37"/>
  <c r="D6" i="37"/>
  <c r="E6" i="37"/>
  <c r="F6" i="37"/>
  <c r="G6" i="37"/>
  <c r="B6" i="37"/>
  <c r="B5" i="37"/>
  <c r="D4" i="37"/>
  <c r="E4" i="37"/>
  <c r="F4" i="37"/>
  <c r="G4" i="37"/>
  <c r="C4" i="37"/>
  <c r="C5" i="36"/>
  <c r="D5" i="36"/>
  <c r="E5" i="36"/>
  <c r="F5" i="36"/>
  <c r="G5" i="36"/>
  <c r="C6" i="36"/>
  <c r="D6" i="36"/>
  <c r="E6" i="36"/>
  <c r="F6" i="36"/>
  <c r="G6" i="36"/>
  <c r="B6" i="36"/>
  <c r="B5" i="36"/>
  <c r="D4" i="36"/>
  <c r="E4" i="36"/>
  <c r="F4" i="36"/>
  <c r="G4" i="36"/>
  <c r="C4" i="36"/>
  <c r="C5" i="35"/>
  <c r="D5" i="35"/>
  <c r="E5" i="35"/>
  <c r="F5" i="35"/>
  <c r="G5" i="35"/>
  <c r="C6" i="35"/>
  <c r="D6" i="35"/>
  <c r="E6" i="35"/>
  <c r="F6" i="35"/>
  <c r="G6" i="35"/>
  <c r="B6" i="35"/>
  <c r="B5" i="35"/>
  <c r="D4" i="35"/>
  <c r="E4" i="35"/>
  <c r="F4" i="35"/>
  <c r="G4" i="35"/>
  <c r="C4" i="35"/>
  <c r="C5" i="34"/>
  <c r="D5" i="34"/>
  <c r="E5" i="34"/>
  <c r="F5" i="34"/>
  <c r="G5" i="34"/>
  <c r="C6" i="34"/>
  <c r="D6" i="34"/>
  <c r="E6" i="34"/>
  <c r="F6" i="34"/>
  <c r="G6" i="34"/>
  <c r="B6" i="34"/>
  <c r="B5" i="34"/>
  <c r="D4" i="34"/>
  <c r="E4" i="34"/>
  <c r="F4" i="34"/>
  <c r="G4" i="34"/>
  <c r="C4" i="34"/>
  <c r="D16" i="33"/>
  <c r="E16" i="33"/>
  <c r="F16" i="33"/>
  <c r="G16" i="33"/>
  <c r="C16" i="33"/>
  <c r="D15" i="33"/>
  <c r="E15" i="33"/>
  <c r="F15" i="33"/>
  <c r="G15" i="33"/>
  <c r="C15" i="33"/>
  <c r="C13" i="33"/>
  <c r="D13" i="33"/>
  <c r="E13" i="33"/>
  <c r="F13" i="33"/>
  <c r="G13" i="33"/>
  <c r="C14" i="33"/>
  <c r="D14" i="33"/>
  <c r="E14" i="33"/>
  <c r="F14" i="33"/>
  <c r="G14" i="33"/>
  <c r="B14" i="33"/>
  <c r="B13" i="33"/>
  <c r="D12" i="33"/>
  <c r="E12" i="33"/>
  <c r="F12" i="33"/>
  <c r="G12" i="33"/>
  <c r="C12" i="33"/>
  <c r="D11" i="33"/>
  <c r="E11" i="33"/>
  <c r="F11" i="33"/>
  <c r="G11" i="33"/>
  <c r="C11" i="33"/>
  <c r="C9" i="33"/>
  <c r="D9" i="33"/>
  <c r="E9" i="33"/>
  <c r="F9" i="33"/>
  <c r="G9" i="33"/>
  <c r="C10" i="33"/>
  <c r="D10" i="33"/>
  <c r="E10" i="33"/>
  <c r="F10" i="33"/>
  <c r="G10" i="33"/>
  <c r="B10" i="33"/>
  <c r="B9" i="33"/>
  <c r="D8" i="33"/>
  <c r="E8" i="33"/>
  <c r="F8" i="33"/>
  <c r="G8" i="33"/>
  <c r="C8" i="33"/>
  <c r="C6" i="33"/>
  <c r="D6" i="33"/>
  <c r="E6" i="33"/>
  <c r="F6" i="33"/>
  <c r="G6" i="33"/>
  <c r="C7" i="33"/>
  <c r="D7" i="33"/>
  <c r="E7" i="33"/>
  <c r="F7" i="33"/>
  <c r="G7" i="33"/>
  <c r="B7" i="33"/>
  <c r="B6" i="33"/>
  <c r="D12" i="32"/>
  <c r="E12" i="32"/>
  <c r="F12" i="32"/>
  <c r="G12" i="32"/>
  <c r="C12" i="32"/>
  <c r="D11" i="32"/>
  <c r="E11" i="32"/>
  <c r="F11" i="32"/>
  <c r="G11" i="32"/>
  <c r="C11" i="32"/>
  <c r="C9" i="32"/>
  <c r="D9" i="32"/>
  <c r="E9" i="32"/>
  <c r="F9" i="32"/>
  <c r="G9" i="32"/>
  <c r="C10" i="32"/>
  <c r="D10" i="32"/>
  <c r="E10" i="32"/>
  <c r="F10" i="32"/>
  <c r="G10" i="32"/>
  <c r="B10" i="32"/>
  <c r="B9" i="32"/>
  <c r="D8" i="32"/>
  <c r="E8" i="32"/>
  <c r="F8" i="32"/>
  <c r="G8" i="32"/>
  <c r="C8" i="32"/>
  <c r="C6" i="32"/>
  <c r="D6" i="32"/>
  <c r="E6" i="32"/>
  <c r="F6" i="32"/>
  <c r="G6" i="32"/>
  <c r="C7" i="32"/>
  <c r="D7" i="32"/>
  <c r="E7" i="32"/>
  <c r="F7" i="32"/>
  <c r="G7" i="32"/>
  <c r="B7" i="32"/>
  <c r="B6" i="32"/>
  <c r="D8" i="31"/>
  <c r="E8" i="31"/>
  <c r="F8" i="31"/>
  <c r="G8" i="31"/>
  <c r="C8" i="31"/>
  <c r="C6" i="31"/>
  <c r="D6" i="31"/>
  <c r="E6" i="31"/>
  <c r="F6" i="31"/>
  <c r="G6" i="31"/>
  <c r="C7" i="31"/>
  <c r="D7" i="31"/>
  <c r="E7" i="31"/>
  <c r="F7" i="31"/>
  <c r="G7" i="31"/>
  <c r="B7" i="31"/>
  <c r="B6" i="31"/>
  <c r="D8" i="30"/>
  <c r="E8" i="30"/>
  <c r="F8" i="30"/>
  <c r="G8" i="30"/>
  <c r="C8" i="30"/>
  <c r="C6" i="30"/>
  <c r="D6" i="30"/>
  <c r="E6" i="30"/>
  <c r="F6" i="30"/>
  <c r="G6" i="30"/>
  <c r="C7" i="30"/>
  <c r="D7" i="30"/>
  <c r="E7" i="30"/>
  <c r="F7" i="30"/>
  <c r="G7" i="30"/>
  <c r="B7" i="30"/>
  <c r="B6" i="30"/>
  <c r="D8" i="29"/>
  <c r="E8" i="29"/>
  <c r="F8" i="29"/>
  <c r="G8" i="29"/>
  <c r="C8" i="29"/>
  <c r="C6" i="29"/>
  <c r="D6" i="29"/>
  <c r="E6" i="29"/>
  <c r="F6" i="29"/>
  <c r="G6" i="29"/>
  <c r="C7" i="29"/>
  <c r="D7" i="29"/>
  <c r="E7" i="29"/>
  <c r="F7" i="29"/>
  <c r="G7" i="29"/>
  <c r="B7" i="29"/>
  <c r="B6" i="29"/>
  <c r="D8" i="28"/>
  <c r="E8" i="28"/>
  <c r="F8" i="28"/>
  <c r="G8" i="28"/>
  <c r="C8" i="28"/>
  <c r="C6" i="28"/>
  <c r="D6" i="28"/>
  <c r="E6" i="28"/>
  <c r="F6" i="28"/>
  <c r="G6" i="28"/>
  <c r="C7" i="28"/>
  <c r="D7" i="28"/>
  <c r="E7" i="28"/>
  <c r="F7" i="28"/>
  <c r="G7" i="28"/>
  <c r="B7" i="28"/>
  <c r="B6" i="28"/>
  <c r="D8" i="27"/>
  <c r="E8" i="27"/>
  <c r="F8" i="27"/>
  <c r="G8" i="27"/>
  <c r="C8" i="27"/>
  <c r="C6" i="27"/>
  <c r="D6" i="27"/>
  <c r="E6" i="27"/>
  <c r="F6" i="27"/>
  <c r="G6" i="27"/>
  <c r="C7" i="27"/>
  <c r="D7" i="27"/>
  <c r="E7" i="27"/>
  <c r="F7" i="27"/>
  <c r="G7" i="27"/>
  <c r="B7" i="27"/>
  <c r="B6" i="27"/>
  <c r="D8" i="26"/>
  <c r="E8" i="26"/>
  <c r="F8" i="26"/>
  <c r="G8" i="26"/>
  <c r="C8" i="26"/>
  <c r="C6" i="26"/>
  <c r="D6" i="26"/>
  <c r="E6" i="26"/>
  <c r="F6" i="26"/>
  <c r="G6" i="26"/>
  <c r="C7" i="26"/>
  <c r="D7" i="26"/>
  <c r="E7" i="26"/>
  <c r="F7" i="26"/>
  <c r="G7" i="26"/>
  <c r="B7" i="26"/>
  <c r="B6" i="26"/>
  <c r="D8" i="25"/>
  <c r="E8" i="25"/>
  <c r="F8" i="25"/>
  <c r="G8" i="25"/>
  <c r="C8" i="25"/>
  <c r="C6" i="25"/>
  <c r="D6" i="25"/>
  <c r="E6" i="25"/>
  <c r="F6" i="25"/>
  <c r="G6" i="25"/>
  <c r="C7" i="25"/>
  <c r="D7" i="25"/>
  <c r="E7" i="25"/>
  <c r="F7" i="25"/>
  <c r="G7" i="25"/>
  <c r="B7" i="25"/>
  <c r="B6" i="25"/>
  <c r="D8" i="24"/>
  <c r="E8" i="24"/>
  <c r="F8" i="24"/>
  <c r="G8" i="24"/>
  <c r="C8" i="24"/>
  <c r="C6" i="24"/>
  <c r="D6" i="24"/>
  <c r="E6" i="24"/>
  <c r="F6" i="24"/>
  <c r="G6" i="24"/>
  <c r="C7" i="24"/>
  <c r="D7" i="24"/>
  <c r="E7" i="24"/>
  <c r="F7" i="24"/>
  <c r="G7" i="24"/>
  <c r="B7" i="24"/>
  <c r="B6" i="24"/>
  <c r="D8" i="23"/>
  <c r="E8" i="23"/>
  <c r="F8" i="23"/>
  <c r="G8" i="23"/>
  <c r="C8" i="23"/>
  <c r="C6" i="23"/>
  <c r="D6" i="23"/>
  <c r="E6" i="23"/>
  <c r="F6" i="23"/>
  <c r="G6" i="23"/>
  <c r="B6" i="23"/>
  <c r="D8" i="22"/>
  <c r="E8" i="22"/>
  <c r="F8" i="22"/>
  <c r="G8" i="22"/>
  <c r="C8" i="22"/>
  <c r="C6" i="22"/>
  <c r="D6" i="22"/>
  <c r="E6" i="22"/>
  <c r="F6" i="22"/>
  <c r="G6" i="22"/>
  <c r="C7" i="22"/>
  <c r="D7" i="22"/>
  <c r="E7" i="22"/>
  <c r="F7" i="22"/>
  <c r="G7" i="22"/>
  <c r="B7" i="22"/>
  <c r="B6" i="22"/>
  <c r="D8" i="21"/>
  <c r="E8" i="21"/>
  <c r="F8" i="21"/>
  <c r="G8" i="21"/>
  <c r="C8" i="21"/>
  <c r="C6" i="21"/>
  <c r="D6" i="21"/>
  <c r="E6" i="21"/>
  <c r="F6" i="21"/>
  <c r="G6" i="21"/>
  <c r="C7" i="21"/>
  <c r="D7" i="21"/>
  <c r="E7" i="21"/>
  <c r="F7" i="21"/>
  <c r="G7" i="21"/>
  <c r="B7" i="21"/>
  <c r="B6" i="21"/>
  <c r="D8" i="20"/>
  <c r="E8" i="20"/>
  <c r="F8" i="20"/>
  <c r="G8" i="20"/>
  <c r="C8" i="20"/>
  <c r="C6" i="20"/>
  <c r="D6" i="20"/>
  <c r="E6" i="20"/>
  <c r="F6" i="20"/>
  <c r="G6" i="20"/>
  <c r="C7" i="20"/>
  <c r="D7" i="20"/>
  <c r="E7" i="20"/>
  <c r="F7" i="20"/>
  <c r="G7" i="20"/>
  <c r="B7" i="20"/>
  <c r="B6" i="20"/>
  <c r="D9" i="19"/>
  <c r="E9" i="19"/>
  <c r="F9" i="19"/>
  <c r="G9" i="19"/>
  <c r="C9" i="19"/>
  <c r="C6" i="19"/>
  <c r="D6" i="19"/>
  <c r="E6" i="19"/>
  <c r="F6" i="19"/>
  <c r="G6" i="19"/>
  <c r="C7" i="19"/>
  <c r="D7" i="19"/>
  <c r="E7" i="19"/>
  <c r="F7" i="19"/>
  <c r="G7" i="19"/>
  <c r="C8" i="19"/>
  <c r="D8" i="19"/>
  <c r="E8" i="19"/>
  <c r="F8" i="19"/>
  <c r="G8" i="19"/>
  <c r="B8" i="19"/>
  <c r="B7" i="19"/>
  <c r="B6" i="19"/>
  <c r="D8" i="18"/>
  <c r="E8" i="18"/>
  <c r="F8" i="18"/>
  <c r="G8" i="18"/>
  <c r="C8" i="18"/>
  <c r="C6" i="18"/>
  <c r="D6" i="18"/>
  <c r="E6" i="18"/>
  <c r="F6" i="18"/>
  <c r="G6" i="18"/>
  <c r="C7" i="18"/>
  <c r="D7" i="18"/>
  <c r="E7" i="18"/>
  <c r="F7" i="18"/>
  <c r="G7" i="18"/>
  <c r="B7" i="18"/>
  <c r="B6" i="18"/>
  <c r="D8" i="17"/>
  <c r="E8" i="17"/>
  <c r="F8" i="17"/>
  <c r="G8" i="17"/>
  <c r="C8" i="17"/>
  <c r="C6" i="17"/>
  <c r="D6" i="17"/>
  <c r="E6" i="17"/>
  <c r="F6" i="17"/>
  <c r="G6" i="17"/>
  <c r="C7" i="17"/>
  <c r="D7" i="17"/>
  <c r="E7" i="17"/>
  <c r="F7" i="17"/>
  <c r="G7" i="17"/>
  <c r="B7" i="17"/>
  <c r="B6" i="17"/>
  <c r="D8" i="16"/>
  <c r="E8" i="16"/>
  <c r="F8" i="16"/>
  <c r="G8" i="16"/>
  <c r="C8" i="16"/>
  <c r="C6" i="16"/>
  <c r="D6" i="16"/>
  <c r="E6" i="16"/>
  <c r="F6" i="16"/>
  <c r="G6" i="16"/>
  <c r="C7" i="16"/>
  <c r="D7" i="16"/>
  <c r="E7" i="16"/>
  <c r="F7" i="16"/>
  <c r="G7" i="16"/>
  <c r="B7" i="16"/>
  <c r="B6" i="16"/>
  <c r="D9" i="15"/>
  <c r="E9" i="15"/>
  <c r="F9" i="15"/>
  <c r="G9" i="15"/>
  <c r="C9" i="15"/>
  <c r="C6" i="15"/>
  <c r="D6" i="15"/>
  <c r="E6" i="15"/>
  <c r="F6" i="15"/>
  <c r="G6" i="15"/>
  <c r="C7" i="15"/>
  <c r="D7" i="15"/>
  <c r="E7" i="15"/>
  <c r="F7" i="15"/>
  <c r="G7" i="15"/>
  <c r="C8" i="15"/>
  <c r="D8" i="15"/>
  <c r="E8" i="15"/>
  <c r="F8" i="15"/>
  <c r="G8" i="15"/>
  <c r="B8" i="15"/>
  <c r="B7" i="15"/>
  <c r="B6" i="15"/>
  <c r="D8" i="14"/>
  <c r="E8" i="14"/>
  <c r="F8" i="14"/>
  <c r="G8" i="14"/>
  <c r="C8" i="14"/>
  <c r="C6" i="14"/>
  <c r="D6" i="14"/>
  <c r="E6" i="14"/>
  <c r="F6" i="14"/>
  <c r="G6" i="14"/>
  <c r="C7" i="14"/>
  <c r="D7" i="14"/>
  <c r="E7" i="14"/>
  <c r="F7" i="14"/>
  <c r="G7" i="14"/>
  <c r="B7" i="14"/>
  <c r="B6" i="14"/>
  <c r="D8" i="13"/>
  <c r="E8" i="13"/>
  <c r="F8" i="13"/>
  <c r="G8" i="13"/>
  <c r="C8" i="13"/>
  <c r="C6" i="13"/>
  <c r="D6" i="13"/>
  <c r="E6" i="13"/>
  <c r="F6" i="13"/>
  <c r="G6" i="13"/>
  <c r="C7" i="13"/>
  <c r="D7" i="13"/>
  <c r="E7" i="13"/>
  <c r="F7" i="13"/>
  <c r="G7" i="13"/>
  <c r="B7" i="13"/>
  <c r="B6" i="13"/>
  <c r="D8" i="12"/>
  <c r="E8" i="12"/>
  <c r="F8" i="12"/>
  <c r="G8" i="12"/>
  <c r="C8" i="12"/>
  <c r="C6" i="12"/>
  <c r="D6" i="12"/>
  <c r="E6" i="12"/>
  <c r="F6" i="12"/>
  <c r="G6" i="12"/>
  <c r="C7" i="12"/>
  <c r="D7" i="12"/>
  <c r="E7" i="12"/>
  <c r="F7" i="12"/>
  <c r="G7" i="12"/>
  <c r="B7" i="12"/>
  <c r="B6" i="12"/>
  <c r="D9" i="11"/>
  <c r="E9" i="11"/>
  <c r="F9" i="11"/>
  <c r="G9" i="11"/>
  <c r="C9" i="11"/>
  <c r="D8" i="11"/>
  <c r="E8" i="11"/>
  <c r="F8" i="11"/>
  <c r="G8" i="11"/>
  <c r="C8" i="11"/>
  <c r="C6" i="11"/>
  <c r="D6" i="11"/>
  <c r="E6" i="11"/>
  <c r="F6" i="11"/>
  <c r="G6" i="11"/>
  <c r="C7" i="11"/>
  <c r="D7" i="11"/>
  <c r="E7" i="11"/>
  <c r="F7" i="11"/>
  <c r="G7" i="11"/>
  <c r="B7" i="11"/>
  <c r="B6" i="11"/>
  <c r="D12" i="10"/>
  <c r="E12" i="10"/>
  <c r="F12" i="10"/>
  <c r="G12" i="10"/>
  <c r="C12" i="10"/>
  <c r="D11" i="10"/>
  <c r="E11" i="10"/>
  <c r="F11" i="10"/>
  <c r="G11" i="10"/>
  <c r="C11" i="10"/>
  <c r="C9" i="10"/>
  <c r="D9" i="10"/>
  <c r="E9" i="10"/>
  <c r="F9" i="10"/>
  <c r="G9" i="10"/>
  <c r="C10" i="10"/>
  <c r="D10" i="10"/>
  <c r="E10" i="10"/>
  <c r="F10" i="10"/>
  <c r="G10" i="10"/>
  <c r="B10" i="10"/>
  <c r="B9" i="10"/>
  <c r="D8" i="10"/>
  <c r="E8" i="10"/>
  <c r="F8" i="10"/>
  <c r="G8" i="10"/>
  <c r="C8" i="10"/>
  <c r="C6" i="10"/>
  <c r="D6" i="10"/>
  <c r="E6" i="10"/>
  <c r="F6" i="10"/>
  <c r="G6" i="10"/>
  <c r="C7" i="10"/>
  <c r="D7" i="10"/>
  <c r="E7" i="10"/>
  <c r="F7" i="10"/>
  <c r="G7" i="10"/>
  <c r="B7" i="10"/>
  <c r="B6" i="10"/>
  <c r="D8" i="9"/>
  <c r="E8" i="9"/>
  <c r="F8" i="9"/>
  <c r="G8" i="9"/>
  <c r="C8" i="9"/>
  <c r="C6" i="9"/>
  <c r="D6" i="9"/>
  <c r="E6" i="9"/>
  <c r="F6" i="9"/>
  <c r="G6" i="9"/>
  <c r="C7" i="9"/>
  <c r="D7" i="9"/>
  <c r="E7" i="9"/>
  <c r="F7" i="9"/>
  <c r="G7" i="9"/>
  <c r="B7" i="9"/>
  <c r="B6" i="9"/>
  <c r="D8" i="8"/>
  <c r="E8" i="8"/>
  <c r="F8" i="8"/>
  <c r="G8" i="8"/>
  <c r="C8" i="8"/>
  <c r="C6" i="8"/>
  <c r="D6" i="8"/>
  <c r="E6" i="8"/>
  <c r="F6" i="8"/>
  <c r="G6" i="8"/>
  <c r="C7" i="8"/>
  <c r="D7" i="8"/>
  <c r="E7" i="8"/>
  <c r="F7" i="8"/>
  <c r="G7" i="8"/>
  <c r="B7" i="8"/>
  <c r="B6" i="8"/>
  <c r="D8" i="7"/>
  <c r="E8" i="7"/>
  <c r="F8" i="7"/>
  <c r="G8" i="7"/>
  <c r="C8" i="7"/>
  <c r="C6" i="7"/>
  <c r="D6" i="7"/>
  <c r="E6" i="7"/>
  <c r="F6" i="7"/>
  <c r="G6" i="7"/>
  <c r="C7" i="7"/>
  <c r="D7" i="7"/>
  <c r="E7" i="7"/>
  <c r="F7" i="7"/>
  <c r="G7" i="7"/>
  <c r="B7" i="7"/>
  <c r="B6" i="7"/>
  <c r="D157" i="6"/>
  <c r="E157" i="6"/>
  <c r="F157" i="6"/>
  <c r="G157" i="6"/>
  <c r="C157" i="6"/>
  <c r="D156" i="6"/>
  <c r="E156" i="6"/>
  <c r="F156" i="6"/>
  <c r="G156" i="6"/>
  <c r="C156" i="6"/>
  <c r="C154" i="6"/>
  <c r="D154" i="6"/>
  <c r="E154" i="6"/>
  <c r="F154" i="6"/>
  <c r="G154" i="6"/>
  <c r="C155" i="6"/>
  <c r="D155" i="6"/>
  <c r="E155" i="6"/>
  <c r="F155" i="6"/>
  <c r="G155" i="6"/>
  <c r="B155" i="6"/>
  <c r="B154" i="6"/>
  <c r="D153" i="6"/>
  <c r="E153" i="6"/>
  <c r="F153" i="6"/>
  <c r="G153" i="6"/>
  <c r="C153" i="6"/>
  <c r="D152" i="6"/>
  <c r="E152" i="6"/>
  <c r="F152" i="6"/>
  <c r="G152" i="6"/>
  <c r="C152" i="6"/>
  <c r="C150" i="6"/>
  <c r="D150" i="6"/>
  <c r="E150" i="6"/>
  <c r="F150" i="6"/>
  <c r="G150" i="6"/>
  <c r="C151" i="6"/>
  <c r="D151" i="6"/>
  <c r="E151" i="6"/>
  <c r="F151" i="6"/>
  <c r="G151" i="6"/>
  <c r="B151" i="6"/>
  <c r="B150" i="6"/>
  <c r="D149" i="6"/>
  <c r="E149" i="6"/>
  <c r="F149" i="6"/>
  <c r="G149" i="6"/>
  <c r="C149" i="6"/>
  <c r="C147" i="6"/>
  <c r="D147" i="6"/>
  <c r="E147" i="6"/>
  <c r="F147" i="6"/>
  <c r="G147" i="6"/>
  <c r="C148" i="6"/>
  <c r="D148" i="6"/>
  <c r="E148" i="6"/>
  <c r="F148" i="6"/>
  <c r="G148" i="6"/>
  <c r="B148" i="6"/>
  <c r="B147" i="6"/>
  <c r="D144" i="6"/>
  <c r="E144" i="6"/>
  <c r="F144" i="6"/>
  <c r="G144" i="6"/>
  <c r="C144" i="6"/>
  <c r="D143" i="6"/>
  <c r="E143" i="6"/>
  <c r="F143" i="6"/>
  <c r="G143" i="6"/>
  <c r="C143" i="6"/>
  <c r="C141" i="6"/>
  <c r="D141" i="6"/>
  <c r="E141" i="6"/>
  <c r="F141" i="6"/>
  <c r="G141" i="6"/>
  <c r="C142" i="6"/>
  <c r="D142" i="6"/>
  <c r="E142" i="6"/>
  <c r="F142" i="6"/>
  <c r="G142" i="6"/>
  <c r="B142" i="6"/>
  <c r="B141" i="6"/>
  <c r="D140" i="6"/>
  <c r="E140" i="6"/>
  <c r="F140" i="6"/>
  <c r="G140" i="6"/>
  <c r="C140" i="6"/>
  <c r="C138" i="6"/>
  <c r="D138" i="6"/>
  <c r="E138" i="6"/>
  <c r="F138" i="6"/>
  <c r="G138" i="6"/>
  <c r="C139" i="6"/>
  <c r="D139" i="6"/>
  <c r="E139" i="6"/>
  <c r="F139" i="6"/>
  <c r="G139" i="6"/>
  <c r="B139" i="6"/>
  <c r="B138" i="6"/>
  <c r="D135" i="6"/>
  <c r="E135" i="6"/>
  <c r="F135" i="6"/>
  <c r="G135" i="6"/>
  <c r="C135" i="6"/>
  <c r="C133" i="6"/>
  <c r="D133" i="6"/>
  <c r="E133" i="6"/>
  <c r="F133" i="6"/>
  <c r="G133" i="6"/>
  <c r="C134" i="6"/>
  <c r="D134" i="6"/>
  <c r="E134" i="6"/>
  <c r="F134" i="6"/>
  <c r="G134" i="6"/>
  <c r="B134" i="6"/>
  <c r="B133" i="6"/>
  <c r="D130" i="6"/>
  <c r="E130" i="6"/>
  <c r="F130" i="6"/>
  <c r="G130" i="6"/>
  <c r="C130" i="6"/>
  <c r="C128" i="6"/>
  <c r="D128" i="6"/>
  <c r="E128" i="6"/>
  <c r="F128" i="6"/>
  <c r="G128" i="6"/>
  <c r="C129" i="6"/>
  <c r="D129" i="6"/>
  <c r="E129" i="6"/>
  <c r="F129" i="6"/>
  <c r="G129" i="6"/>
  <c r="B129" i="6"/>
  <c r="B128" i="6"/>
  <c r="D125" i="6"/>
  <c r="E125" i="6"/>
  <c r="F125" i="6"/>
  <c r="G125" i="6"/>
  <c r="C125" i="6"/>
  <c r="C123" i="6"/>
  <c r="D123" i="6"/>
  <c r="E123" i="6"/>
  <c r="F123" i="6"/>
  <c r="G123" i="6"/>
  <c r="C124" i="6"/>
  <c r="D124" i="6"/>
  <c r="E124" i="6"/>
  <c r="F124" i="6"/>
  <c r="G124" i="6"/>
  <c r="B124" i="6"/>
  <c r="B123" i="6"/>
  <c r="D120" i="6"/>
  <c r="E120" i="6"/>
  <c r="F120" i="6"/>
  <c r="G120" i="6"/>
  <c r="C120" i="6"/>
  <c r="C118" i="6"/>
  <c r="D118" i="6"/>
  <c r="E118" i="6"/>
  <c r="F118" i="6"/>
  <c r="G118" i="6"/>
  <c r="C119" i="6"/>
  <c r="D119" i="6"/>
  <c r="E119" i="6"/>
  <c r="F119" i="6"/>
  <c r="G119" i="6"/>
  <c r="B119" i="6"/>
  <c r="B118" i="6"/>
  <c r="D115" i="6"/>
  <c r="E115" i="6"/>
  <c r="F115" i="6"/>
  <c r="G115" i="6"/>
  <c r="C115" i="6"/>
  <c r="C113" i="6"/>
  <c r="D113" i="6"/>
  <c r="E113" i="6"/>
  <c r="F113" i="6"/>
  <c r="G113" i="6"/>
  <c r="C114" i="6"/>
  <c r="D114" i="6"/>
  <c r="E114" i="6"/>
  <c r="F114" i="6"/>
  <c r="G114" i="6"/>
  <c r="B114" i="6"/>
  <c r="B113" i="6"/>
  <c r="D110" i="6"/>
  <c r="E110" i="6"/>
  <c r="F110" i="6"/>
  <c r="G110" i="6"/>
  <c r="C110" i="6"/>
  <c r="C108" i="6"/>
  <c r="D108" i="6"/>
  <c r="E108" i="6"/>
  <c r="F108" i="6"/>
  <c r="G108" i="6"/>
  <c r="C109" i="6"/>
  <c r="D109" i="6"/>
  <c r="E109" i="6"/>
  <c r="F109" i="6"/>
  <c r="G109" i="6"/>
  <c r="B109" i="6"/>
  <c r="B108" i="6"/>
  <c r="D105" i="6"/>
  <c r="E105" i="6"/>
  <c r="F105" i="6"/>
  <c r="G105" i="6"/>
  <c r="C105" i="6"/>
  <c r="C103" i="6"/>
  <c r="D103" i="6"/>
  <c r="E103" i="6"/>
  <c r="F103" i="6"/>
  <c r="G103" i="6"/>
  <c r="C104" i="6"/>
  <c r="D104" i="6"/>
  <c r="E104" i="6"/>
  <c r="F104" i="6"/>
  <c r="G104" i="6"/>
  <c r="B104" i="6"/>
  <c r="B103" i="6"/>
  <c r="D100" i="6"/>
  <c r="E100" i="6"/>
  <c r="F100" i="6"/>
  <c r="G100" i="6"/>
  <c r="C100" i="6"/>
  <c r="C98" i="6"/>
  <c r="D98" i="6"/>
  <c r="E98" i="6"/>
  <c r="F98" i="6"/>
  <c r="G98" i="6"/>
  <c r="C99" i="6"/>
  <c r="D99" i="6"/>
  <c r="E99" i="6"/>
  <c r="F99" i="6"/>
  <c r="G99" i="6"/>
  <c r="B99" i="6"/>
  <c r="B98" i="6"/>
  <c r="D95" i="6"/>
  <c r="E95" i="6"/>
  <c r="F95" i="6"/>
  <c r="G95" i="6"/>
  <c r="C95" i="6"/>
  <c r="C93" i="6"/>
  <c r="D93" i="6"/>
  <c r="E93" i="6"/>
  <c r="F93" i="6"/>
  <c r="G93" i="6"/>
  <c r="B93" i="6"/>
  <c r="D90" i="6"/>
  <c r="E90" i="6"/>
  <c r="F90" i="6"/>
  <c r="G90" i="6"/>
  <c r="C90" i="6"/>
  <c r="C88" i="6"/>
  <c r="D88" i="6"/>
  <c r="E88" i="6"/>
  <c r="F88" i="6"/>
  <c r="G88" i="6"/>
  <c r="C89" i="6"/>
  <c r="D89" i="6"/>
  <c r="E89" i="6"/>
  <c r="F89" i="6"/>
  <c r="G89" i="6"/>
  <c r="B89" i="6"/>
  <c r="B88" i="6"/>
  <c r="D85" i="6"/>
  <c r="E85" i="6"/>
  <c r="F85" i="6"/>
  <c r="G85" i="6"/>
  <c r="C85" i="6"/>
  <c r="C83" i="6"/>
  <c r="D83" i="6"/>
  <c r="E83" i="6"/>
  <c r="F83" i="6"/>
  <c r="G83" i="6"/>
  <c r="C84" i="6"/>
  <c r="D84" i="6"/>
  <c r="E84" i="6"/>
  <c r="F84" i="6"/>
  <c r="G84" i="6"/>
  <c r="B84" i="6"/>
  <c r="B83" i="6"/>
  <c r="D80" i="6"/>
  <c r="E80" i="6"/>
  <c r="F80" i="6"/>
  <c r="G80" i="6"/>
  <c r="C80" i="6"/>
  <c r="C78" i="6"/>
  <c r="D78" i="6"/>
  <c r="E78" i="6"/>
  <c r="F78" i="6"/>
  <c r="G78" i="6"/>
  <c r="C79" i="6"/>
  <c r="D79" i="6"/>
  <c r="E79" i="6"/>
  <c r="F79" i="6"/>
  <c r="G79" i="6"/>
  <c r="B79" i="6"/>
  <c r="B78" i="6"/>
  <c r="D75" i="6"/>
  <c r="E75" i="6"/>
  <c r="F75" i="6"/>
  <c r="G75" i="6"/>
  <c r="C75" i="6"/>
  <c r="C72" i="6"/>
  <c r="D72" i="6"/>
  <c r="E72" i="6"/>
  <c r="F72" i="6"/>
  <c r="G72" i="6"/>
  <c r="C73" i="6"/>
  <c r="D73" i="6"/>
  <c r="E73" i="6"/>
  <c r="F73" i="6"/>
  <c r="G73" i="6"/>
  <c r="C74" i="6"/>
  <c r="D74" i="6"/>
  <c r="E74" i="6"/>
  <c r="F74" i="6"/>
  <c r="G74" i="6"/>
  <c r="B74" i="6"/>
  <c r="B73" i="6"/>
  <c r="B72" i="6"/>
  <c r="D69" i="6"/>
  <c r="E69" i="6"/>
  <c r="F69" i="6"/>
  <c r="G69" i="6"/>
  <c r="C69" i="6"/>
  <c r="C67" i="6"/>
  <c r="D67" i="6"/>
  <c r="E67" i="6"/>
  <c r="F67" i="6"/>
  <c r="G67" i="6"/>
  <c r="C68" i="6"/>
  <c r="D68" i="6"/>
  <c r="E68" i="6"/>
  <c r="F68" i="6"/>
  <c r="G68" i="6"/>
  <c r="B68" i="6"/>
  <c r="B67" i="6"/>
  <c r="D64" i="6"/>
  <c r="E64" i="6"/>
  <c r="F64" i="6"/>
  <c r="G64" i="6"/>
  <c r="C64" i="6"/>
  <c r="C62" i="6"/>
  <c r="D62" i="6"/>
  <c r="E62" i="6"/>
  <c r="F62" i="6"/>
  <c r="G62" i="6"/>
  <c r="C63" i="6"/>
  <c r="D63" i="6"/>
  <c r="E63" i="6"/>
  <c r="F63" i="6"/>
  <c r="G63" i="6"/>
  <c r="B63" i="6"/>
  <c r="B62" i="6"/>
  <c r="D59" i="6"/>
  <c r="E59" i="6"/>
  <c r="F59" i="6"/>
  <c r="G59" i="6"/>
  <c r="C59" i="6"/>
  <c r="C57" i="6"/>
  <c r="D57" i="6"/>
  <c r="E57" i="6"/>
  <c r="F57" i="6"/>
  <c r="G57" i="6"/>
  <c r="C58" i="6"/>
  <c r="D58" i="6"/>
  <c r="E58" i="6"/>
  <c r="F58" i="6"/>
  <c r="G58" i="6"/>
  <c r="B58" i="6"/>
  <c r="B57" i="6"/>
  <c r="D54" i="6"/>
  <c r="E54" i="6"/>
  <c r="F54" i="6"/>
  <c r="G54" i="6"/>
  <c r="C54" i="6"/>
  <c r="C51" i="6"/>
  <c r="D51" i="6"/>
  <c r="E51" i="6"/>
  <c r="F51" i="6"/>
  <c r="G51" i="6"/>
  <c r="C52" i="6"/>
  <c r="D52" i="6"/>
  <c r="E52" i="6"/>
  <c r="F52" i="6"/>
  <c r="G52" i="6"/>
  <c r="C53" i="6"/>
  <c r="D53" i="6"/>
  <c r="E53" i="6"/>
  <c r="F53" i="6"/>
  <c r="G53" i="6"/>
  <c r="B53" i="6"/>
  <c r="B52" i="6"/>
  <c r="B51" i="6"/>
  <c r="D48" i="6"/>
  <c r="E48" i="6"/>
  <c r="F48" i="6"/>
  <c r="G48" i="6"/>
  <c r="C48" i="6"/>
  <c r="C46" i="6"/>
  <c r="D46" i="6"/>
  <c r="E46" i="6"/>
  <c r="F46" i="6"/>
  <c r="G46" i="6"/>
  <c r="C47" i="6"/>
  <c r="D47" i="6"/>
  <c r="E47" i="6"/>
  <c r="F47" i="6"/>
  <c r="G47" i="6"/>
  <c r="B47" i="6"/>
  <c r="B46" i="6"/>
  <c r="D43" i="6"/>
  <c r="E43" i="6"/>
  <c r="F43" i="6"/>
  <c r="G43" i="6"/>
  <c r="C43" i="6"/>
  <c r="C41" i="6"/>
  <c r="D41" i="6"/>
  <c r="E41" i="6"/>
  <c r="F41" i="6"/>
  <c r="G41" i="6"/>
  <c r="C42" i="6"/>
  <c r="D42" i="6"/>
  <c r="E42" i="6"/>
  <c r="F42" i="6"/>
  <c r="G42" i="6"/>
  <c r="B42" i="6"/>
  <c r="B41" i="6"/>
  <c r="D38" i="6"/>
  <c r="E38" i="6"/>
  <c r="F38" i="6"/>
  <c r="G38" i="6"/>
  <c r="C38" i="6"/>
  <c r="C36" i="6"/>
  <c r="D36" i="6"/>
  <c r="E36" i="6"/>
  <c r="F36" i="6"/>
  <c r="G36" i="6"/>
  <c r="C37" i="6"/>
  <c r="D37" i="6"/>
  <c r="E37" i="6"/>
  <c r="F37" i="6"/>
  <c r="G37" i="6"/>
  <c r="B37" i="6"/>
  <c r="B36" i="6"/>
  <c r="D33" i="6"/>
  <c r="E33" i="6"/>
  <c r="F33" i="6"/>
  <c r="G33" i="6"/>
  <c r="C33" i="6"/>
  <c r="D32" i="6"/>
  <c r="E32" i="6"/>
  <c r="F32" i="6"/>
  <c r="G32" i="6"/>
  <c r="C32" i="6"/>
  <c r="C30" i="6"/>
  <c r="D30" i="6"/>
  <c r="E30" i="6"/>
  <c r="F30" i="6"/>
  <c r="G30" i="6"/>
  <c r="C31" i="6"/>
  <c r="D31" i="6"/>
  <c r="E31" i="6"/>
  <c r="F31" i="6"/>
  <c r="G31" i="6"/>
  <c r="B31" i="6"/>
  <c r="B30" i="6"/>
  <c r="D27" i="6"/>
  <c r="E27" i="6"/>
  <c r="F27" i="6"/>
  <c r="G27" i="6"/>
  <c r="C27" i="6"/>
  <c r="D26" i="6"/>
  <c r="E26" i="6"/>
  <c r="F26" i="6"/>
  <c r="G26" i="6"/>
  <c r="C26" i="6"/>
  <c r="C24" i="6"/>
  <c r="D24" i="6"/>
  <c r="E24" i="6"/>
  <c r="F24" i="6"/>
  <c r="G24" i="6"/>
  <c r="C25" i="6"/>
  <c r="D25" i="6"/>
  <c r="E25" i="6"/>
  <c r="F25" i="6"/>
  <c r="G25" i="6"/>
  <c r="B25" i="6"/>
  <c r="B24" i="6"/>
  <c r="D23" i="6"/>
  <c r="E23" i="6"/>
  <c r="F23" i="6"/>
  <c r="G23" i="6"/>
  <c r="C23" i="6"/>
  <c r="C21" i="6"/>
  <c r="D21" i="6"/>
  <c r="E21" i="6"/>
  <c r="F21" i="6"/>
  <c r="G21" i="6"/>
  <c r="C22" i="6"/>
  <c r="D22" i="6"/>
  <c r="E22" i="6"/>
  <c r="F22" i="6"/>
  <c r="G22" i="6"/>
  <c r="B22" i="6"/>
  <c r="B21" i="6"/>
  <c r="D18" i="6"/>
  <c r="E18" i="6"/>
  <c r="F18" i="6"/>
  <c r="G18" i="6"/>
  <c r="C18" i="6"/>
  <c r="C16" i="6"/>
  <c r="D16" i="6"/>
  <c r="E16" i="6"/>
  <c r="F16" i="6"/>
  <c r="G16" i="6"/>
  <c r="C17" i="6"/>
  <c r="D17" i="6"/>
  <c r="E17" i="6"/>
  <c r="F17" i="6"/>
  <c r="G17" i="6"/>
  <c r="B17" i="6"/>
  <c r="B16" i="6"/>
  <c r="D13" i="6"/>
  <c r="E13" i="6"/>
  <c r="F13" i="6"/>
  <c r="G13" i="6"/>
  <c r="C13" i="6"/>
  <c r="C11" i="6"/>
  <c r="D11" i="6"/>
  <c r="E11" i="6"/>
  <c r="F11" i="6"/>
  <c r="G11" i="6"/>
  <c r="C12" i="6"/>
  <c r="D12" i="6"/>
  <c r="E12" i="6"/>
  <c r="F12" i="6"/>
  <c r="G12" i="6"/>
  <c r="B12" i="6"/>
  <c r="B11" i="6"/>
  <c r="D8" i="6"/>
  <c r="E8" i="6"/>
  <c r="F8" i="6"/>
  <c r="G8" i="6"/>
  <c r="C8" i="6"/>
  <c r="C6" i="6"/>
  <c r="D6" i="6"/>
  <c r="E6" i="6"/>
  <c r="F6" i="6"/>
  <c r="G6" i="6"/>
  <c r="C7" i="6"/>
  <c r="D7" i="6"/>
  <c r="E7" i="6"/>
  <c r="F7" i="6"/>
  <c r="G7" i="6"/>
  <c r="B7" i="6"/>
  <c r="B6" i="6"/>
  <c r="E8" i="4"/>
  <c r="F8" i="4"/>
  <c r="G8" i="4"/>
  <c r="D8" i="4"/>
  <c r="F25" i="4"/>
  <c r="G25" i="4" s="1"/>
  <c r="G26" i="4" s="1"/>
  <c r="G30" i="4" s="1"/>
  <c r="E25" i="4"/>
  <c r="D25" i="4"/>
  <c r="E48" i="5"/>
  <c r="F48" i="5"/>
  <c r="G48" i="5"/>
  <c r="E47" i="5"/>
  <c r="F47" i="5"/>
  <c r="G47" i="5"/>
  <c r="D47" i="5"/>
  <c r="E46" i="5"/>
  <c r="F46" i="5"/>
  <c r="G46" i="5"/>
  <c r="D46" i="5"/>
  <c r="E45" i="5"/>
  <c r="F45" i="5"/>
  <c r="G45" i="5"/>
  <c r="D45" i="5"/>
  <c r="B45" i="5"/>
  <c r="E44" i="5"/>
  <c r="F44" i="5"/>
  <c r="G44" i="5"/>
  <c r="D44" i="5"/>
  <c r="B44" i="5"/>
  <c r="E42" i="5"/>
  <c r="F42" i="5"/>
  <c r="G42" i="5"/>
  <c r="D42" i="5"/>
  <c r="B42" i="5"/>
  <c r="E41" i="5"/>
  <c r="F41" i="5"/>
  <c r="G41" i="5"/>
  <c r="D41" i="5"/>
  <c r="B41" i="5"/>
  <c r="E40" i="5"/>
  <c r="F40" i="5"/>
  <c r="G40" i="5"/>
  <c r="D40" i="5"/>
  <c r="B40" i="5"/>
  <c r="E39" i="5"/>
  <c r="F39" i="5"/>
  <c r="G39" i="5"/>
  <c r="D39" i="5"/>
  <c r="B39" i="5"/>
  <c r="E38" i="5"/>
  <c r="F38" i="5"/>
  <c r="G38" i="5"/>
  <c r="D38" i="5"/>
  <c r="B38" i="5"/>
  <c r="E37" i="5"/>
  <c r="F37" i="5"/>
  <c r="G37" i="5"/>
  <c r="D37" i="5"/>
  <c r="B37" i="5"/>
  <c r="E35" i="5"/>
  <c r="F35" i="5"/>
  <c r="G35" i="5"/>
  <c r="E34" i="5"/>
  <c r="F34" i="5"/>
  <c r="G34" i="5"/>
  <c r="D34" i="5"/>
  <c r="E33" i="5"/>
  <c r="F33" i="5"/>
  <c r="G33" i="5"/>
  <c r="D33" i="5"/>
  <c r="D35" i="5" s="1"/>
  <c r="D48" i="5" s="1"/>
  <c r="D38" i="4" s="1"/>
  <c r="B33" i="5"/>
  <c r="E32" i="5"/>
  <c r="F32" i="5"/>
  <c r="G32" i="5"/>
  <c r="D32" i="5"/>
  <c r="B32" i="5"/>
  <c r="E31" i="5"/>
  <c r="F31" i="5"/>
  <c r="G31" i="5"/>
  <c r="D31" i="5"/>
  <c r="B31" i="5"/>
  <c r="E30" i="5"/>
  <c r="F30" i="5"/>
  <c r="G30" i="5"/>
  <c r="D30" i="5"/>
  <c r="B30" i="5"/>
  <c r="E29" i="5"/>
  <c r="F29" i="5"/>
  <c r="G29" i="5"/>
  <c r="D29" i="5"/>
  <c r="B29" i="5"/>
  <c r="E27" i="5"/>
  <c r="F27" i="5"/>
  <c r="G27" i="5"/>
  <c r="D27" i="5"/>
  <c r="E26" i="5"/>
  <c r="F26" i="5"/>
  <c r="G26" i="5"/>
  <c r="D26" i="5"/>
  <c r="B26" i="5"/>
  <c r="E24" i="5"/>
  <c r="F24" i="5"/>
  <c r="G24" i="5"/>
  <c r="D24" i="5"/>
  <c r="B24" i="5"/>
  <c r="E23" i="5"/>
  <c r="F23" i="5"/>
  <c r="G23" i="5"/>
  <c r="D23" i="5"/>
  <c r="B23" i="5"/>
  <c r="E22" i="5"/>
  <c r="F22" i="5"/>
  <c r="G22" i="5"/>
  <c r="D22" i="5"/>
  <c r="B22" i="5"/>
  <c r="E21" i="5"/>
  <c r="F21" i="5"/>
  <c r="G21" i="5"/>
  <c r="D21" i="5"/>
  <c r="B21" i="5"/>
  <c r="E20" i="5"/>
  <c r="F20" i="5"/>
  <c r="G20" i="5"/>
  <c r="D20" i="5"/>
  <c r="B20" i="5"/>
  <c r="E18" i="5"/>
  <c r="F18" i="5"/>
  <c r="G18" i="5"/>
  <c r="D18" i="5"/>
  <c r="B18" i="5"/>
  <c r="E17" i="5"/>
  <c r="F17" i="5"/>
  <c r="G17" i="5"/>
  <c r="D17" i="5"/>
  <c r="B17" i="5"/>
  <c r="E16" i="5"/>
  <c r="F16" i="5"/>
  <c r="G16" i="5"/>
  <c r="D16" i="5"/>
  <c r="B16" i="5"/>
  <c r="E15" i="5"/>
  <c r="F15" i="5"/>
  <c r="G15" i="5"/>
  <c r="D15" i="5"/>
  <c r="B15" i="5"/>
  <c r="E14" i="5"/>
  <c r="F14" i="5"/>
  <c r="G14" i="5"/>
  <c r="D14" i="5"/>
  <c r="B14" i="5"/>
  <c r="E13" i="5"/>
  <c r="F13" i="5"/>
  <c r="G13" i="5"/>
  <c r="D13" i="5"/>
  <c r="B13" i="5"/>
  <c r="E12" i="5"/>
  <c r="F12" i="5"/>
  <c r="G12" i="5"/>
  <c r="D12" i="5"/>
  <c r="B12" i="5"/>
  <c r="E10" i="5"/>
  <c r="F10" i="5"/>
  <c r="G10" i="5"/>
  <c r="D10" i="5"/>
  <c r="E9" i="5"/>
  <c r="F9" i="5"/>
  <c r="G9" i="5"/>
  <c r="D9" i="5"/>
  <c r="E8" i="5"/>
  <c r="F8" i="5"/>
  <c r="G8" i="5"/>
  <c r="D8" i="5"/>
  <c r="E7" i="5"/>
  <c r="F7" i="5"/>
  <c r="G7" i="5"/>
  <c r="D7" i="5"/>
  <c r="E5" i="5"/>
  <c r="F5" i="5"/>
  <c r="G5" i="5"/>
  <c r="D5" i="5"/>
  <c r="D30" i="4"/>
  <c r="D26" i="4"/>
  <c r="E26" i="4"/>
  <c r="E30" i="4" s="1"/>
  <c r="F26" i="4"/>
  <c r="F30" i="4" s="1"/>
  <c r="D19" i="4"/>
  <c r="E19" i="4"/>
  <c r="F19" i="4"/>
  <c r="G19" i="4"/>
  <c r="D13" i="4"/>
  <c r="E13" i="4"/>
  <c r="F13" i="4"/>
  <c r="G13" i="4"/>
  <c r="D9" i="4"/>
  <c r="D21" i="4" s="1"/>
  <c r="E9" i="4"/>
  <c r="E21" i="4" s="1"/>
  <c r="F9" i="4"/>
  <c r="F21" i="4" s="1"/>
  <c r="G9" i="4"/>
  <c r="G21" i="4" s="1"/>
  <c r="D7" i="4"/>
  <c r="E7" i="4"/>
  <c r="F7" i="4"/>
  <c r="G7" i="4"/>
  <c r="C39" i="4"/>
  <c r="C30" i="4"/>
  <c r="C40" i="4" s="1"/>
  <c r="C26" i="4"/>
  <c r="C19" i="4"/>
  <c r="C13" i="4"/>
  <c r="C7" i="4"/>
  <c r="C9" i="4" s="1"/>
  <c r="C21" i="4" s="1"/>
  <c r="D35" i="3"/>
  <c r="E35" i="3"/>
  <c r="F35" i="3"/>
  <c r="G35" i="3"/>
  <c r="C35" i="3"/>
  <c r="D30" i="3"/>
  <c r="E30" i="3"/>
  <c r="F30" i="3"/>
  <c r="G30" i="3"/>
  <c r="D27" i="3"/>
  <c r="E27" i="3"/>
  <c r="F27" i="3"/>
  <c r="G27" i="3"/>
  <c r="D25" i="3"/>
  <c r="E25" i="3"/>
  <c r="F25" i="3"/>
  <c r="G25" i="3"/>
  <c r="D23" i="3"/>
  <c r="E23" i="3"/>
  <c r="F23" i="3"/>
  <c r="G23" i="3"/>
  <c r="D21" i="3"/>
  <c r="E21" i="3"/>
  <c r="F21" i="3"/>
  <c r="G21" i="3"/>
  <c r="D19" i="3"/>
  <c r="E19" i="3"/>
  <c r="F19" i="3"/>
  <c r="G19" i="3"/>
  <c r="D17" i="3"/>
  <c r="E17" i="3"/>
  <c r="F17" i="3"/>
  <c r="G17" i="3"/>
  <c r="D16" i="3"/>
  <c r="E16" i="3"/>
  <c r="F16" i="3"/>
  <c r="G16" i="3"/>
  <c r="D15" i="3"/>
  <c r="E15" i="3"/>
  <c r="F15" i="3"/>
  <c r="G15" i="3"/>
  <c r="D10" i="3"/>
  <c r="E10" i="3"/>
  <c r="F10" i="3"/>
  <c r="G10" i="3"/>
  <c r="D7" i="3"/>
  <c r="E7" i="3"/>
  <c r="F7" i="3"/>
  <c r="G7" i="3"/>
  <c r="C30" i="3"/>
  <c r="C27" i="3"/>
  <c r="C25" i="3"/>
  <c r="C23" i="3"/>
  <c r="C21" i="3"/>
  <c r="C19" i="3"/>
  <c r="C17" i="3"/>
  <c r="C16" i="3"/>
  <c r="C15" i="3"/>
  <c r="C10" i="3"/>
  <c r="C7" i="3"/>
  <c r="E38" i="4" l="1"/>
  <c r="F38" i="4" s="1"/>
  <c r="G38" i="4" s="1"/>
  <c r="G39" i="4" s="1"/>
  <c r="G40" i="4" s="1"/>
  <c r="D39" i="4"/>
  <c r="D40" i="4" s="1"/>
  <c r="F39" i="4" l="1"/>
  <c r="F40" i="4" s="1"/>
  <c r="E39" i="4"/>
  <c r="E40" i="4" s="1"/>
</calcChain>
</file>

<file path=xl/sharedStrings.xml><?xml version="1.0" encoding="utf-8"?>
<sst xmlns="http://schemas.openxmlformats.org/spreadsheetml/2006/main" count="490" uniqueCount="203">
  <si>
    <t>Balance Sheet of Coal India (in Rs. Cr.)</t>
  </si>
  <si>
    <t xml:space="preserve"> </t>
  </si>
  <si>
    <t>12 mths</t>
  </si>
  <si>
    <t>EQUITIES AND LIABILITIES</t>
  </si>
  <si>
    <t>SHAREHOLDER'S FUNDS</t>
  </si>
  <si>
    <t>Equity Share Capital</t>
  </si>
  <si>
    <t>Total Share Capital</t>
  </si>
  <si>
    <t>Reserves and Surplus</t>
  </si>
  <si>
    <t>Total Reserves and Surplus</t>
  </si>
  <si>
    <t>Total Shareholders Funds</t>
  </si>
  <si>
    <t>Minority Interest</t>
  </si>
  <si>
    <t>NON-CURRENT LIABILITIES</t>
  </si>
  <si>
    <t>Long Term Borrowings</t>
  </si>
  <si>
    <t>Deferred Tax Liabilities [Net]</t>
  </si>
  <si>
    <t>Other Long Term Liabilities</t>
  </si>
  <si>
    <t>Long Term Provisions</t>
  </si>
  <si>
    <t>Total Non-Current Liabilities</t>
  </si>
  <si>
    <t>CURRENT LIABILITIES</t>
  </si>
  <si>
    <t>Short Term Borrowings</t>
  </si>
  <si>
    <t>Trade Payables</t>
  </si>
  <si>
    <t>Other Current Liabilities</t>
  </si>
  <si>
    <t>Short Term Provisions</t>
  </si>
  <si>
    <t>Total Current Liabilities</t>
  </si>
  <si>
    <t>Total Capital And Liabilities</t>
  </si>
  <si>
    <t>ASSETS</t>
  </si>
  <si>
    <t>NON-CURRENT ASSETS</t>
  </si>
  <si>
    <t>Tangible Assets</t>
  </si>
  <si>
    <t>Intangible Assets</t>
  </si>
  <si>
    <t>Capital Work-In-Progress</t>
  </si>
  <si>
    <t>Fixed Assets</t>
  </si>
  <si>
    <t>Non-Current Investments</t>
  </si>
  <si>
    <t>Deferred Tax Assets [Net]</t>
  </si>
  <si>
    <t>Long Term Loans And Advances</t>
  </si>
  <si>
    <t>Other Non-Current Assets</t>
  </si>
  <si>
    <t>Total Non-Current Assets</t>
  </si>
  <si>
    <t>CURRENT ASSETS</t>
  </si>
  <si>
    <t>Current Investments</t>
  </si>
  <si>
    <t>Inventories</t>
  </si>
  <si>
    <t>Trade Receivables</t>
  </si>
  <si>
    <t>Cash And Cash Equivalents</t>
  </si>
  <si>
    <t>Short Term Loans And Advances</t>
  </si>
  <si>
    <t>OtherCurrentAssets</t>
  </si>
  <si>
    <t>Total Current Assets</t>
  </si>
  <si>
    <t>Total Assets</t>
  </si>
  <si>
    <t>OTHER ADDITIONAL INFORMATION</t>
  </si>
  <si>
    <t>CONTINGENT LIABILITIES, COMMITMENTS</t>
  </si>
  <si>
    <t>Contingent Liabilities</t>
  </si>
  <si>
    <t>BONUS DETAILS</t>
  </si>
  <si>
    <t>Bonus Equity Share Capital</t>
  </si>
  <si>
    <t>NON-CURRENT INVESTMENTS</t>
  </si>
  <si>
    <t>Non-Current Investments Quoted Market Value</t>
  </si>
  <si>
    <t>Non-Current Investments Unquoted Book Value</t>
  </si>
  <si>
    <t>CURRENT INVESTMENTS</t>
  </si>
  <si>
    <t>Current Investments Quoted Market Value</t>
  </si>
  <si>
    <t>Current Investments Unquoted Book Value</t>
  </si>
  <si>
    <t>Profit &amp; Loss account of Coal India (in Rs. Cr.)</t>
  </si>
  <si>
    <t>INCOME</t>
  </si>
  <si>
    <t>Revenue From Operations [Net]</t>
  </si>
  <si>
    <t>Total Operating Revenues</t>
  </si>
  <si>
    <t>Other Income</t>
  </si>
  <si>
    <t>Total Revenue</t>
  </si>
  <si>
    <t>EXPENSES</t>
  </si>
  <si>
    <t>Cost Of Materials Consumed</t>
  </si>
  <si>
    <t xml:space="preserve">Purchase Of Stock-In Trade </t>
  </si>
  <si>
    <t>Operating And Direct Expenses</t>
  </si>
  <si>
    <t>Changes In Inventories Of FGWIP And Stock In Trade</t>
  </si>
  <si>
    <t>Employee Benefit Expenses</t>
  </si>
  <si>
    <t>Finance Costs</t>
  </si>
  <si>
    <t>Depreciation And Amortisation Expenses</t>
  </si>
  <si>
    <t>Other Expenses</t>
  </si>
  <si>
    <t>Total Expenses</t>
  </si>
  <si>
    <t>Profit/Loss Before Exceptional, ExtraOrdinary Items And Tax</t>
  </si>
  <si>
    <t>Exceptional Items</t>
  </si>
  <si>
    <t>Profit/Loss Before Tax</t>
  </si>
  <si>
    <t>Tax Expenses-Continued Operations</t>
  </si>
  <si>
    <t>Current Tax</t>
  </si>
  <si>
    <t>Less: MAT Credit Entitlement</t>
  </si>
  <si>
    <t>Deferred Tax</t>
  </si>
  <si>
    <t>Other Direct Taxes</t>
  </si>
  <si>
    <t>Total Tax Expenses</t>
  </si>
  <si>
    <t>Profit/Loss After Tax And Before ExtraOrdinary Items</t>
  </si>
  <si>
    <t>Profit/Loss From Continuing Operations</t>
  </si>
  <si>
    <t>Profit/Loss For The Period</t>
  </si>
  <si>
    <t>Consolidated Profit/Loss After MI And Associates</t>
  </si>
  <si>
    <t>EARNINGS PER SHARE</t>
  </si>
  <si>
    <t>Basic EPS (Rs.)</t>
  </si>
  <si>
    <t>Diluted EPS (Rs.)</t>
  </si>
  <si>
    <t>DIVIDEND AND DIVIDEND PERCENTAGE</t>
  </si>
  <si>
    <t>Equity Share Dividend</t>
  </si>
  <si>
    <t>Tax On Dividend</t>
  </si>
  <si>
    <t>Reserves</t>
  </si>
  <si>
    <t>Debt</t>
  </si>
  <si>
    <t>Current Liabilities</t>
  </si>
  <si>
    <t>Provisions</t>
  </si>
  <si>
    <t>Investments</t>
  </si>
  <si>
    <t>Loans and advances</t>
  </si>
  <si>
    <t>Current Assets</t>
  </si>
  <si>
    <t>Gross Sales</t>
  </si>
  <si>
    <t>Excise Duty</t>
  </si>
  <si>
    <t>Expenditure</t>
  </si>
  <si>
    <t>Interest</t>
  </si>
  <si>
    <t>ISMDepreciation</t>
  </si>
  <si>
    <t>Extra-ordinary items</t>
  </si>
  <si>
    <t>Tax</t>
  </si>
  <si>
    <t>Dividend</t>
  </si>
  <si>
    <t>Net Sales</t>
  </si>
  <si>
    <t>Stock Adjustments</t>
  </si>
  <si>
    <t>Total Income</t>
  </si>
  <si>
    <t>Total Expenditure</t>
  </si>
  <si>
    <t>Operating Profit</t>
  </si>
  <si>
    <t>PBDIT</t>
  </si>
  <si>
    <t>PBIT</t>
  </si>
  <si>
    <t>Profit Before share of Associates</t>
  </si>
  <si>
    <t>Share Of Profit/Loss Of Associates</t>
  </si>
  <si>
    <t>PBT</t>
  </si>
  <si>
    <t>PBT(Post Extra Ordinary Items)</t>
  </si>
  <si>
    <t>Reported Net Profit(PAT)</t>
  </si>
  <si>
    <t>Amount C\F to Balance Sheet</t>
  </si>
  <si>
    <t>Total Shares Outstanding(cr)</t>
  </si>
  <si>
    <t>Particulars</t>
  </si>
  <si>
    <t>Income Statement</t>
  </si>
  <si>
    <t>Preference Share Capital</t>
  </si>
  <si>
    <t>Net Worth</t>
  </si>
  <si>
    <t>Total Debt</t>
  </si>
  <si>
    <t>Total Liabilities</t>
  </si>
  <si>
    <t>Depreciation</t>
  </si>
  <si>
    <t>Net Assets</t>
  </si>
  <si>
    <t>Total Non Current Assets</t>
  </si>
  <si>
    <t>Balance Sheet</t>
  </si>
  <si>
    <t>Profit Before Tax</t>
  </si>
  <si>
    <t>Adjustments</t>
  </si>
  <si>
    <t>Finance Cost</t>
  </si>
  <si>
    <t>Total NonCash &amp; Non Operating Transactions</t>
  </si>
  <si>
    <t>Changes in Current Assets</t>
  </si>
  <si>
    <t>Changes in Current Liabilities</t>
  </si>
  <si>
    <t>Total Cash from Operating Activities</t>
  </si>
  <si>
    <t>Investment Activities</t>
  </si>
  <si>
    <t>Total Cash Flow from Investment Activities</t>
  </si>
  <si>
    <t>Finance Activities</t>
  </si>
  <si>
    <t>Total Dividend Paid</t>
  </si>
  <si>
    <t>Interest Paid</t>
  </si>
  <si>
    <t>Total Cash From Financing Activities</t>
  </si>
  <si>
    <t>Cash C/F to Balance Sheet</t>
  </si>
  <si>
    <t>CashFlow Statement</t>
  </si>
  <si>
    <t>Period</t>
  </si>
  <si>
    <t>Earning Per Share = Reported Net Profit/ Share Outstanding</t>
  </si>
  <si>
    <t>Earning  Per Share</t>
  </si>
  <si>
    <t>Dividend Per Share = Equity Dividend/ Shares Outstanding</t>
  </si>
  <si>
    <t>Equity Dividend Per Share</t>
  </si>
  <si>
    <t>BookValue Per Share = Net Worth/ Share Outstanding</t>
  </si>
  <si>
    <t>Book Value  Per Share</t>
  </si>
  <si>
    <t>Dividend Pay Out Ratio = Dividend Per Share/Earnings Per Share</t>
  </si>
  <si>
    <t>Dividend Pay Out Ratio</t>
  </si>
  <si>
    <t>Dividend Retention Ratio = 1 - Dividend Payout Ratio</t>
  </si>
  <si>
    <t>Dividend Payout Ratio</t>
  </si>
  <si>
    <t>Dividend Retention Ratio</t>
  </si>
  <si>
    <t>Gross Profit = Gross Sales - Cost Of Goods Sold</t>
  </si>
  <si>
    <t>Gross Profit</t>
  </si>
  <si>
    <t>Net Profit = Gross Sales - Total Expenditure</t>
  </si>
  <si>
    <t>Net Profit</t>
  </si>
  <si>
    <t>Return On Assets = Reported Net Profit /  Total Assets</t>
  </si>
  <si>
    <t>Return On Assets</t>
  </si>
  <si>
    <t>Return On Capital Employed = PBIT /  Total Debt + Net Worth</t>
  </si>
  <si>
    <t>Return On Capital Employeed</t>
  </si>
  <si>
    <t>Return On Equity = Reported Net Profit / Net Worth</t>
  </si>
  <si>
    <t>Return On Equity</t>
  </si>
  <si>
    <t>Debt Equity Ratio = Total Debt / Net Worth</t>
  </si>
  <si>
    <t>Debt Equity Ratio</t>
  </si>
  <si>
    <t>Current Ratio = Total Current Assets / Total Current Liabilities</t>
  </si>
  <si>
    <t>Current Ratio</t>
  </si>
  <si>
    <t>Quick Ratio = (Total Current Assets - Inventories)/ Total Current Liabilities</t>
  </si>
  <si>
    <t>Quick Ratio</t>
  </si>
  <si>
    <t>Interest Coverage Ratio = PBIT / Interest</t>
  </si>
  <si>
    <t>Interest Coverage Ratio</t>
  </si>
  <si>
    <t>Material Consumed = Cost Of Good Sold  / Net Sales</t>
  </si>
  <si>
    <t>Material Consumed</t>
  </si>
  <si>
    <t>Defensive Interval Ratio =   Cash and Bank Balance / Cost Of Good Sold * 365</t>
  </si>
  <si>
    <t>Defensive Interval Ratio</t>
  </si>
  <si>
    <t>Purchases Per Day =   Cash and Bank Balance / Cost Of Good Sold * 365</t>
  </si>
  <si>
    <t>Days in a Year</t>
  </si>
  <si>
    <t>Purchases Per Day</t>
  </si>
  <si>
    <t>Asset TurnOver Ratio  =   Gross Sales / Total Assets</t>
  </si>
  <si>
    <t>Asset TurnOver Ratio</t>
  </si>
  <si>
    <t>Inventory TurnOver Ratio  =   Gross Sales / Inventory</t>
  </si>
  <si>
    <t>Inventory TurnOver Ratio</t>
  </si>
  <si>
    <t>Debtors TurnOver Ratio  =   Gross Sales / Debtors</t>
  </si>
  <si>
    <t>Debtors TurnOver Ratio</t>
  </si>
  <si>
    <t>Fixed Assets TurnOver Ratio  =   Gross Sales / Gross Block</t>
  </si>
  <si>
    <t>Fixed Assets TurnOver Ratio</t>
  </si>
  <si>
    <t>Payable TurnOver Ratio  =   Cost of Goods Sold / Total Current Liabilities</t>
  </si>
  <si>
    <t>Payable TurnOver Ratio</t>
  </si>
  <si>
    <t>Inventory Days  =   365/Gross Sales  * Inventories</t>
  </si>
  <si>
    <t>Inventory Days</t>
  </si>
  <si>
    <t xml:space="preserve"> Payable Days   =   365/Cost of Goods Sold  * Total Current Liabilities</t>
  </si>
  <si>
    <t>Payable Days</t>
  </si>
  <si>
    <t>Receivable Days  =   365/Gross Sales  * Sundry Debtors</t>
  </si>
  <si>
    <t>Receivable Days</t>
  </si>
  <si>
    <t>Operating Cycle Days =    Receivable Days + Inventory Days</t>
  </si>
  <si>
    <t>Operating Cycle</t>
  </si>
  <si>
    <t>Cash Conversion Cycle =   Operating Cycle Days -  Payable Days</t>
  </si>
  <si>
    <t>Operating Cycle Days</t>
  </si>
  <si>
    <t>Cash Conversion Cycle Days</t>
  </si>
  <si>
    <t>Years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</si>
</sst>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.00"/>
  </numFmts>
  <fonts count="8" x14ac:knownFonts="1">
    <font>
      <sz val="11"/>
      <color theme="1"/>
      <name val="Calibri"/>
      <family val="2"/>
      <scheme val="minor"/>
    </font>
    <font>
      <sz val="15"/>
      <color theme="1"/>
      <name val="Century"/>
      <family val="1"/>
    </font>
    <font>
      <b/>
      <sz val="15"/>
      <color indexed="18"/>
      <name val="Century"/>
      <family val="1"/>
    </font>
    <font>
      <b/>
      <sz val="15"/>
      <color indexed="9"/>
      <name val="Century"/>
      <family val="1"/>
    </font>
    <font>
      <b/>
      <sz val="15"/>
      <color theme="1"/>
      <name val="Century"/>
      <family val="1"/>
    </font>
    <font>
      <b/>
      <sz val="15"/>
      <color indexed="16"/>
      <name val="Century"/>
      <family val="1"/>
    </font>
    <font>
      <sz val="15"/>
      <color indexed="32"/>
      <name val="Century"/>
      <family val="1"/>
    </font>
    <font>
      <sz val="15"/>
      <color indexed="37"/>
      <name val="Century"/>
      <family val="1"/>
    </font>
  </fonts>
  <fills count="6">
    <fill>
      <patternFill patternType="none"/>
    </fill>
    <fill>
      <patternFill patternType="gray125"/>
    </fill>
    <fill>
      <patternFill patternType="solid">
        <fgColor indexed="1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32"/>
        <bgColor indexed="64"/>
      </patternFill>
    </fill>
    <fill>
      <patternFill patternType="solid">
        <fgColor indexed="16"/>
        <bgColor indexed="64"/>
      </patternFill>
    </fill>
  </fills>
  <borders count="9">
    <border>
      <left/>
      <right/>
      <top/>
      <bottom/>
      <diagonal/>
    </border>
    <border>
      <left style="thick">
        <color indexed="16"/>
      </left>
      <right/>
      <top style="thick">
        <color indexed="16"/>
      </top>
      <bottom/>
      <diagonal/>
    </border>
    <border>
      <left/>
      <right/>
      <top style="thick">
        <color indexed="16"/>
      </top>
      <bottom/>
      <diagonal/>
    </border>
    <border>
      <left/>
      <right style="thick">
        <color indexed="16"/>
      </right>
      <top style="thick">
        <color indexed="16"/>
      </top>
      <bottom/>
      <diagonal/>
    </border>
    <border>
      <left style="thick">
        <color indexed="16"/>
      </left>
      <right/>
      <top/>
      <bottom/>
      <diagonal/>
    </border>
    <border>
      <left/>
      <right style="thick">
        <color indexed="16"/>
      </right>
      <top/>
      <bottom/>
      <diagonal/>
    </border>
    <border>
      <left style="thick">
        <color indexed="16"/>
      </left>
      <right/>
      <top/>
      <bottom style="thick">
        <color indexed="16"/>
      </bottom>
      <diagonal/>
    </border>
    <border>
      <left/>
      <right/>
      <top/>
      <bottom style="thick">
        <color indexed="16"/>
      </bottom>
      <diagonal/>
    </border>
    <border>
      <left/>
      <right style="thick">
        <color indexed="16"/>
      </right>
      <top/>
      <bottom style="thick">
        <color indexed="16"/>
      </bottom>
      <diagonal/>
    </border>
  </borders>
  <cellStyleXfs count="1">
    <xf numFmtId="0" fontId="0" fillId="0" borderId="0"/>
  </cellStyleXfs>
  <cellXfs count="29">
    <xf numFmtId="0" fontId="0" fillId="0" borderId="0" xfId="0"/>
    <xf numFmtId="16" fontId="0" fillId="0" borderId="0" xfId="0" applyNumberFormat="1"/>
    <xf numFmtId="4" fontId="0" fillId="0" borderId="0" xfId="0" applyNumberFormat="1"/>
    <xf numFmtId="0" fontId="0" fillId="0" borderId="0" xfId="0" applyAlignment="1">
      <alignment horizontal="fill"/>
    </xf>
    <xf numFmtId="0" fontId="1" fillId="0" borderId="0" xfId="0" applyFont="1" applyAlignment="1">
      <alignment horizontal="right"/>
    </xf>
    <xf numFmtId="4" fontId="1" fillId="0" borderId="0" xfId="0" applyNumberFormat="1" applyFont="1" applyAlignment="1">
      <alignment horizontal="right"/>
    </xf>
    <xf numFmtId="0" fontId="2" fillId="0" borderId="0" xfId="0" applyFont="1" applyAlignment="1">
      <alignment horizontal="right"/>
    </xf>
    <xf numFmtId="4" fontId="2" fillId="0" borderId="0" xfId="0" applyNumberFormat="1" applyFont="1" applyAlignment="1">
      <alignment horizontal="right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3" fillId="2" borderId="0" xfId="0" applyFont="1" applyFill="1" applyAlignment="1">
      <alignment horizontal="center"/>
    </xf>
    <xf numFmtId="0" fontId="4" fillId="0" borderId="0" xfId="0" applyFont="1" applyAlignment="1">
      <alignment horizontal="center"/>
    </xf>
    <xf numFmtId="0" fontId="5" fillId="3" borderId="0" xfId="0" applyFont="1" applyFill="1" applyAlignment="1">
      <alignment horizontal="center"/>
    </xf>
    <xf numFmtId="0" fontId="3" fillId="4" borderId="0" xfId="0" applyFont="1" applyFill="1"/>
    <xf numFmtId="0" fontId="3" fillId="5" borderId="0" xfId="0" applyFont="1" applyFill="1" applyAlignment="1">
      <alignment horizontal="center" vertical="center"/>
    </xf>
    <xf numFmtId="0" fontId="6" fillId="0" borderId="0" xfId="0" applyFont="1"/>
    <xf numFmtId="164" fontId="6" fillId="0" borderId="0" xfId="0" applyNumberFormat="1" applyFont="1"/>
    <xf numFmtId="0" fontId="7" fillId="0" borderId="0" xfId="0" applyFont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10" fontId="7" fillId="0" borderId="0" xfId="0" applyNumberFormat="1" applyFont="1"/>
    <xf numFmtId="164" fontId="7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sharedStrings" Target="sharedStrings.xml"/><Relationship Id="rId8" Type="http://schemas.openxmlformats.org/officeDocument/2006/relationships/worksheet" Target="worksheets/sheet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Earning  Per Share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Earning  Per Share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00A6-4BFB-B508-45F03B375B4E}"/>
              </c:ext>
            </c:extLst>
          </c:dPt>
          <c:dPt>
            <c:idx val="4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00A6-4BFB-B508-45F03B375B4E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'Earning  Per Share'!$C$3:$G$3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'Earning  Per Share'!$C$8:$G$8</c:f>
              <c:numCache>
                <c:formatCode>General</c:formatCode>
                <c:ptCount val="5"/>
                <c:pt idx="0">
                  <c:v>11</c:v>
                </c:pt>
                <c:pt idx="1">
                  <c:v>28</c:v>
                </c:pt>
                <c:pt idx="2">
                  <c:v>27</c:v>
                </c:pt>
                <c:pt idx="3">
                  <c:v>21</c:v>
                </c:pt>
                <c:pt idx="4">
                  <c:v>28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00A6-4BFB-B508-45F03B375B4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49539728"/>
        <c:axId val="549540056"/>
      </c:lineChart>
      <c:catAx>
        <c:axId val="5495397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49540056"/>
        <c:crosses val="autoZero"/>
        <c:auto val="0"/>
        <c:lblAlgn val="ctr"/>
        <c:lblOffset val="100"/>
        <c:noMultiLvlLbl val="0"/>
      </c:catAx>
      <c:valAx>
        <c:axId val="549540056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Rupees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49539728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Return On Equity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Return On Equity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BE4B-4503-AC2C-2BF37F2DACBC}"/>
              </c:ext>
            </c:extLst>
          </c:dPt>
          <c:dPt>
            <c:idx val="4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BE4B-4503-AC2C-2BF37F2DACBC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'Return On Equity'!$C$3:$G$3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'Return On Equity'!$C$8:$G$8</c:f>
              <c:numCache>
                <c:formatCode>0.00%</c:formatCode>
                <c:ptCount val="5"/>
                <c:pt idx="0">
                  <c:v>0.12</c:v>
                </c:pt>
                <c:pt idx="1">
                  <c:v>0.27</c:v>
                </c:pt>
                <c:pt idx="2">
                  <c:v>0.22</c:v>
                </c:pt>
                <c:pt idx="3">
                  <c:v>0.12</c:v>
                </c:pt>
                <c:pt idx="4">
                  <c:v>0.26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BE4B-4503-AC2C-2BF37F2DACB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7842136"/>
        <c:axId val="447842464"/>
      </c:lineChart>
      <c:catAx>
        <c:axId val="4478421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47842464"/>
        <c:crosses val="autoZero"/>
        <c:auto val="0"/>
        <c:lblAlgn val="ctr"/>
        <c:lblOffset val="100"/>
        <c:noMultiLvlLbl val="0"/>
      </c:catAx>
      <c:valAx>
        <c:axId val="447842464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Percentage</a:t>
                </a:r>
              </a:p>
            </c:rich>
          </c:tx>
          <c:overlay val="0"/>
        </c:title>
        <c:numFmt formatCode="0.00%" sourceLinked="1"/>
        <c:majorTickMark val="out"/>
        <c:minorTickMark val="none"/>
        <c:tickLblPos val="nextTo"/>
        <c:crossAx val="447842136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Debt Equity Ratio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Debt Equity Ratio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417E-44E5-B07F-61F737FA0EBA}"/>
              </c:ext>
            </c:extLst>
          </c:dPt>
          <c:dPt>
            <c:idx val="2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417E-44E5-B07F-61F737FA0EBA}"/>
              </c:ext>
            </c:extLst>
          </c:dPt>
          <c:dPt>
            <c:idx val="3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417E-44E5-B07F-61F737FA0EBA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'Debt Equity Ratio'!$C$3:$G$3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'Debt Equity Ratio'!$C$8:$G$8</c:f>
              <c:numCache>
                <c:formatCode>General</c:formatCode>
                <c:ptCount val="5"/>
                <c:pt idx="0">
                  <c:v>0.08</c:v>
                </c:pt>
                <c:pt idx="1">
                  <c:v>0.1</c:v>
                </c:pt>
                <c:pt idx="2">
                  <c:v>0.32</c:v>
                </c:pt>
                <c:pt idx="3">
                  <c:v>0.37</c:v>
                </c:pt>
                <c:pt idx="4">
                  <c:v>0.11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417E-44E5-B07F-61F737FA0EB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7131856"/>
        <c:axId val="447134480"/>
      </c:lineChart>
      <c:catAx>
        <c:axId val="4471318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47134480"/>
        <c:crosses val="autoZero"/>
        <c:auto val="0"/>
        <c:lblAlgn val="ctr"/>
        <c:lblOffset val="100"/>
        <c:noMultiLvlLbl val="0"/>
      </c:catAx>
      <c:valAx>
        <c:axId val="447134480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Times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447131856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Current Ratio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Current Ratio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816A-45CA-95F6-7FD183C63CFC}"/>
              </c:ext>
            </c:extLst>
          </c:dPt>
          <c:dPt>
            <c:idx val="2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816A-45CA-95F6-7FD183C63CFC}"/>
              </c:ext>
            </c:extLst>
          </c:dPt>
          <c:dPt>
            <c:idx val="4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816A-45CA-95F6-7FD183C63CFC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'Current Ratio'!$C$3:$G$3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'Current Ratio'!$C$8:$G$8</c:f>
              <c:numCache>
                <c:formatCode>General</c:formatCode>
                <c:ptCount val="5"/>
                <c:pt idx="0">
                  <c:v>0.83</c:v>
                </c:pt>
                <c:pt idx="1">
                  <c:v>0.87</c:v>
                </c:pt>
                <c:pt idx="2">
                  <c:v>0.93</c:v>
                </c:pt>
                <c:pt idx="3">
                  <c:v>0.84</c:v>
                </c:pt>
                <c:pt idx="4">
                  <c:v>0.91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816A-45CA-95F6-7FD183C63CF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7133496"/>
        <c:axId val="447132184"/>
      </c:lineChart>
      <c:catAx>
        <c:axId val="4471334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47132184"/>
        <c:crosses val="autoZero"/>
        <c:auto val="0"/>
        <c:lblAlgn val="ctr"/>
        <c:lblOffset val="100"/>
        <c:noMultiLvlLbl val="0"/>
      </c:catAx>
      <c:valAx>
        <c:axId val="447132184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Times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447133496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Quick Ratio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Quick Ratio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F0E1-4B01-BBEE-7365FCE9417B}"/>
              </c:ext>
            </c:extLst>
          </c:dPt>
          <c:dPt>
            <c:idx val="2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F0E1-4B01-BBEE-7365FCE9417B}"/>
              </c:ext>
            </c:extLst>
          </c:dPt>
          <c:dPt>
            <c:idx val="4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8-F0E1-4B01-BBEE-7365FCE9417B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'Quick Ratio'!$C$3:$G$3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'Quick Ratio'!$C$9:$G$9</c:f>
              <c:numCache>
                <c:formatCode>General</c:formatCode>
                <c:ptCount val="5"/>
                <c:pt idx="0">
                  <c:v>0.77</c:v>
                </c:pt>
                <c:pt idx="1">
                  <c:v>0.81</c:v>
                </c:pt>
                <c:pt idx="2">
                  <c:v>0.87</c:v>
                </c:pt>
                <c:pt idx="3">
                  <c:v>0.77</c:v>
                </c:pt>
                <c:pt idx="4">
                  <c:v>0.86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F0E1-4B01-BBEE-7365FCE941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20744024"/>
        <c:axId val="620740744"/>
      </c:lineChart>
      <c:catAx>
        <c:axId val="6207440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620740744"/>
        <c:crosses val="autoZero"/>
        <c:auto val="0"/>
        <c:lblAlgn val="ctr"/>
        <c:lblOffset val="100"/>
        <c:noMultiLvlLbl val="0"/>
      </c:catAx>
      <c:valAx>
        <c:axId val="620740744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Times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620744024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Interest Coverage Ratio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Interest Coverage Ratio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84E1-4C6A-A552-45DDED96037B}"/>
              </c:ext>
            </c:extLst>
          </c:dPt>
          <c:dPt>
            <c:idx val="4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84E1-4C6A-A552-45DDED96037B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'Interest Coverage Ratio'!$C$3:$G$3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'Interest Coverage Ratio'!$C$8:$G$8</c:f>
              <c:numCache>
                <c:formatCode>General</c:formatCode>
                <c:ptCount val="5"/>
                <c:pt idx="0">
                  <c:v>20.96</c:v>
                </c:pt>
                <c:pt idx="1">
                  <c:v>78.98</c:v>
                </c:pt>
                <c:pt idx="2">
                  <c:v>33.869999999999997</c:v>
                </c:pt>
                <c:pt idx="3">
                  <c:v>16</c:v>
                </c:pt>
                <c:pt idx="4">
                  <c:v>49.08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84E1-4C6A-A552-45DDED9603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7894440"/>
        <c:axId val="447893784"/>
      </c:lineChart>
      <c:catAx>
        <c:axId val="4478944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47893784"/>
        <c:crosses val="autoZero"/>
        <c:auto val="0"/>
        <c:lblAlgn val="ctr"/>
        <c:lblOffset val="100"/>
        <c:noMultiLvlLbl val="0"/>
      </c:catAx>
      <c:valAx>
        <c:axId val="447893784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Times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447894440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Material Consumed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Material Consumed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AD59-4D15-8C12-DB0A6545AD4D}"/>
              </c:ext>
            </c:extLst>
          </c:dPt>
          <c:dPt>
            <c:idx val="2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AD59-4D15-8C12-DB0A6545AD4D}"/>
              </c:ext>
            </c:extLst>
          </c:dPt>
          <c:dPt>
            <c:idx val="3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AD59-4D15-8C12-DB0A6545AD4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'Material Consumed'!$C$3:$G$3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'Material Consumed'!$C$8:$G$8</c:f>
              <c:numCache>
                <c:formatCode>General</c:formatCode>
                <c:ptCount val="5"/>
                <c:pt idx="0">
                  <c:v>0.11</c:v>
                </c:pt>
                <c:pt idx="1">
                  <c:v>0.11</c:v>
                </c:pt>
                <c:pt idx="2">
                  <c:v>0.11</c:v>
                </c:pt>
                <c:pt idx="3">
                  <c:v>0.12</c:v>
                </c:pt>
                <c:pt idx="4">
                  <c:v>0.09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AD59-4D15-8C12-DB0A6545AD4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55558800"/>
        <c:axId val="555560440"/>
      </c:lineChart>
      <c:catAx>
        <c:axId val="5555588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55560440"/>
        <c:crosses val="autoZero"/>
        <c:auto val="0"/>
        <c:lblAlgn val="ctr"/>
        <c:lblOffset val="100"/>
        <c:noMultiLvlLbl val="0"/>
      </c:catAx>
      <c:valAx>
        <c:axId val="555560440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Percentage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55558800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Defensive Interval Ratio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Defensive Interval Ratio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D47F-43E3-B1CE-8E27903F6BF4}"/>
              </c:ext>
            </c:extLst>
          </c:dPt>
          <c:dPt>
            <c:idx val="4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D47F-43E3-B1CE-8E27903F6BF4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'Defensive Interval Ratio'!$C$3:$G$3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'Defensive Interval Ratio'!$C$8:$G$8</c:f>
              <c:numCache>
                <c:formatCode>General</c:formatCode>
                <c:ptCount val="5"/>
                <c:pt idx="0">
                  <c:v>1229.23</c:v>
                </c:pt>
                <c:pt idx="1">
                  <c:v>1263.75</c:v>
                </c:pt>
                <c:pt idx="2">
                  <c:v>1101.27</c:v>
                </c:pt>
                <c:pt idx="3">
                  <c:v>500.55</c:v>
                </c:pt>
                <c:pt idx="4">
                  <c:v>1494.54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D47F-43E3-B1CE-8E27903F6B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55559456"/>
        <c:axId val="555559784"/>
      </c:lineChart>
      <c:catAx>
        <c:axId val="5555594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55559784"/>
        <c:crosses val="autoZero"/>
        <c:auto val="0"/>
        <c:lblAlgn val="ctr"/>
        <c:lblOffset val="100"/>
        <c:noMultiLvlLbl val="0"/>
      </c:catAx>
      <c:valAx>
        <c:axId val="555559784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Times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55559456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Purchases Per Day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Purchases Per Day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2-BEC8-464F-ACAD-B31A9451DBF4}"/>
              </c:ext>
            </c:extLst>
          </c:dPt>
          <c:dPt>
            <c:idx val="4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BEC8-464F-ACAD-B31A9451DBF4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'Purchases Per Day'!$C$3:$G$3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'Purchases Per Day'!$C$8:$G$8</c:f>
              <c:numCache>
                <c:formatCode>General</c:formatCode>
                <c:ptCount val="5"/>
                <c:pt idx="0">
                  <c:v>31475.07</c:v>
                </c:pt>
                <c:pt idx="1">
                  <c:v>33842.69</c:v>
                </c:pt>
                <c:pt idx="2">
                  <c:v>28822.31</c:v>
                </c:pt>
                <c:pt idx="3">
                  <c:v>13883.05</c:v>
                </c:pt>
                <c:pt idx="4">
                  <c:v>38662.269999999997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EC8-464F-ACAD-B31A9451DB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1264368"/>
        <c:axId val="451265352"/>
      </c:lineChart>
      <c:catAx>
        <c:axId val="4512643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51265352"/>
        <c:crosses val="autoZero"/>
        <c:auto val="0"/>
        <c:lblAlgn val="ctr"/>
        <c:lblOffset val="100"/>
        <c:noMultiLvlLbl val="0"/>
      </c:catAx>
      <c:valAx>
        <c:axId val="451265352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Times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451264368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Asset TurnOver Ratio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Asset TurnOver Ratio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ACD3-4354-82BF-6BB4407E9EA8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'Asset TurnOver Ratio'!$C$3:$G$3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'Asset TurnOver Ratio'!$C$8:$G$8</c:f>
              <c:numCache>
                <c:formatCode>General</c:formatCode>
                <c:ptCount val="5"/>
                <c:pt idx="0">
                  <c:v>1</c:v>
                </c:pt>
                <c:pt idx="1">
                  <c:v>1.1000000000000001</c:v>
                </c:pt>
                <c:pt idx="2">
                  <c:v>0.97</c:v>
                </c:pt>
                <c:pt idx="3">
                  <c:v>0.89</c:v>
                </c:pt>
                <c:pt idx="4">
                  <c:v>0.63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ACD3-4354-82BF-6BB4407E9EA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8825648"/>
        <c:axId val="448826632"/>
      </c:lineChart>
      <c:catAx>
        <c:axId val="4488256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48826632"/>
        <c:crosses val="autoZero"/>
        <c:auto val="0"/>
        <c:lblAlgn val="ctr"/>
        <c:lblOffset val="100"/>
        <c:noMultiLvlLbl val="0"/>
      </c:catAx>
      <c:valAx>
        <c:axId val="448826632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Times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448825648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Inventory TurnOver Ratio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Inventory TurnOver Ratio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2C11-4F7A-8D42-93A871BC6502}"/>
              </c:ext>
            </c:extLst>
          </c:dPt>
          <c:dPt>
            <c:idx val="4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2C11-4F7A-8D42-93A871BC6502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'Inventory TurnOver Ratio'!$C$3:$G$3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'Inventory TurnOver Ratio'!$C$8:$G$8</c:f>
              <c:numCache>
                <c:formatCode>General</c:formatCode>
                <c:ptCount val="5"/>
                <c:pt idx="0">
                  <c:v>19.73</c:v>
                </c:pt>
                <c:pt idx="1">
                  <c:v>25.18</c:v>
                </c:pt>
                <c:pt idx="2">
                  <c:v>20.399999999999999</c:v>
                </c:pt>
                <c:pt idx="3">
                  <c:v>14.17</c:v>
                </c:pt>
                <c:pt idx="4">
                  <c:v>15.51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2C11-4F7A-8D42-93A871BC650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8826304"/>
        <c:axId val="448826960"/>
      </c:lineChart>
      <c:catAx>
        <c:axId val="4488263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48826960"/>
        <c:crosses val="autoZero"/>
        <c:auto val="0"/>
        <c:lblAlgn val="ctr"/>
        <c:lblOffset val="100"/>
        <c:noMultiLvlLbl val="0"/>
      </c:catAx>
      <c:valAx>
        <c:axId val="448826960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Times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448826304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Equity Dividend Per Share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Equity Dividend Per Share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2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6D7F-42C1-938E-44D95F727EAC}"/>
              </c:ext>
            </c:extLst>
          </c:dPt>
          <c:dPt>
            <c:idx val="3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6D7F-42C1-938E-44D95F727EAC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'Equity Dividend Per Share'!$C$3:$G$3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'Equity Dividend Per Share'!$C$8:$G$8</c:f>
              <c:numCache>
                <c:formatCode>General</c:formatCode>
                <c:ptCount val="5"/>
                <c:pt idx="0">
                  <c:v>22.95</c:v>
                </c:pt>
                <c:pt idx="1">
                  <c:v>19.260000000000002</c:v>
                </c:pt>
                <c:pt idx="2">
                  <c:v>21.8</c:v>
                </c:pt>
                <c:pt idx="3">
                  <c:v>37.08</c:v>
                </c:pt>
                <c:pt idx="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6D7F-42C1-938E-44D95F727EA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53596248"/>
        <c:axId val="553593296"/>
      </c:lineChart>
      <c:catAx>
        <c:axId val="5535962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53593296"/>
        <c:crosses val="autoZero"/>
        <c:auto val="0"/>
        <c:lblAlgn val="ctr"/>
        <c:lblOffset val="100"/>
        <c:noMultiLvlLbl val="0"/>
      </c:catAx>
      <c:valAx>
        <c:axId val="553593296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Rupees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53596248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Debtors TurnOver Ratio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Debtors TurnOver Ratio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68FF-490C-8645-577056115490}"/>
              </c:ext>
            </c:extLst>
          </c:dPt>
          <c:dPt>
            <c:idx val="4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68FF-490C-8645-577056115490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'Debtors TurnOver Ratio'!$C$3:$G$3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'Debtors TurnOver Ratio'!$C$8:$G$8</c:f>
              <c:numCache>
                <c:formatCode>General</c:formatCode>
                <c:ptCount val="5"/>
                <c:pt idx="0">
                  <c:v>14.63</c:v>
                </c:pt>
                <c:pt idx="1">
                  <c:v>25.57</c:v>
                </c:pt>
                <c:pt idx="2">
                  <c:v>9.3699999999999992</c:v>
                </c:pt>
                <c:pt idx="3">
                  <c:v>6.46</c:v>
                </c:pt>
                <c:pt idx="4">
                  <c:v>9.65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68FF-490C-8645-57705611549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60813552"/>
        <c:axId val="560812568"/>
      </c:lineChart>
      <c:catAx>
        <c:axId val="5608135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60812568"/>
        <c:crosses val="autoZero"/>
        <c:auto val="0"/>
        <c:lblAlgn val="ctr"/>
        <c:lblOffset val="100"/>
        <c:noMultiLvlLbl val="0"/>
      </c:catAx>
      <c:valAx>
        <c:axId val="560812568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Times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60813552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Fixed Assets TurnOver Ratio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Fixed Assets TurnOver Ratio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'Fixed Assets TurnOver Ratio'!$C$3:$G$3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'Fixed Assets TurnOver Ratio'!$C$8:$G$8</c:f>
              <c:numCache>
                <c:formatCode>General</c:formatCode>
                <c:ptCount val="5"/>
                <c:pt idx="0">
                  <c:v>5.28</c:v>
                </c:pt>
                <c:pt idx="1">
                  <c:v>4.93</c:v>
                </c:pt>
                <c:pt idx="2">
                  <c:v>4.18</c:v>
                </c:pt>
                <c:pt idx="3">
                  <c:v>3.36</c:v>
                </c:pt>
                <c:pt idx="4">
                  <c:v>1.84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E04-4839-B80A-9F6BC52A4D6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8827616"/>
        <c:axId val="632059256"/>
      </c:lineChart>
      <c:catAx>
        <c:axId val="4488276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632059256"/>
        <c:crosses val="autoZero"/>
        <c:auto val="0"/>
        <c:lblAlgn val="ctr"/>
        <c:lblOffset val="100"/>
        <c:noMultiLvlLbl val="0"/>
      </c:catAx>
      <c:valAx>
        <c:axId val="632059256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Times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448827616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Payable TurnOver Ratio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Payable TurnOver Ratio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2-5CAC-4BC0-87B1-590802A6A628}"/>
              </c:ext>
            </c:extLst>
          </c:dPt>
          <c:dPt>
            <c:idx val="2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5CAC-4BC0-87B1-590802A6A628}"/>
              </c:ext>
            </c:extLst>
          </c:dPt>
          <c:dPt>
            <c:idx val="3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4-5CAC-4BC0-87B1-590802A6A628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'Payable TurnOver Ratio'!$C$3:$G$3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'Payable TurnOver Ratio'!$C$8:$G$8</c:f>
              <c:numCache>
                <c:formatCode>General</c:formatCode>
                <c:ptCount val="5"/>
                <c:pt idx="0">
                  <c:v>0.09</c:v>
                </c:pt>
                <c:pt idx="1">
                  <c:v>0.09</c:v>
                </c:pt>
                <c:pt idx="2">
                  <c:v>0.09</c:v>
                </c:pt>
                <c:pt idx="3">
                  <c:v>0.09</c:v>
                </c:pt>
                <c:pt idx="4">
                  <c:v>7.0000000000000007E-2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CAC-4BC0-87B1-590802A6A62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06880344"/>
        <c:axId val="106877064"/>
      </c:lineChart>
      <c:catAx>
        <c:axId val="1068803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106877064"/>
        <c:crosses val="autoZero"/>
        <c:auto val="0"/>
        <c:lblAlgn val="ctr"/>
        <c:lblOffset val="100"/>
        <c:noMultiLvlLbl val="0"/>
      </c:catAx>
      <c:valAx>
        <c:axId val="106877064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Times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06880344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Inventory Days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Inventory Days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2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2-9A4F-4D8F-A5CA-A1E2FE461944}"/>
              </c:ext>
            </c:extLst>
          </c:dPt>
          <c:dPt>
            <c:idx val="3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9A4F-4D8F-A5CA-A1E2FE461944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'Inventory Days'!$C$3:$G$3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'Inventory Days'!$C$8:$G$8</c:f>
              <c:numCache>
                <c:formatCode>General</c:formatCode>
                <c:ptCount val="5"/>
                <c:pt idx="0">
                  <c:v>18.5</c:v>
                </c:pt>
                <c:pt idx="1">
                  <c:v>14.5</c:v>
                </c:pt>
                <c:pt idx="2">
                  <c:v>17.899999999999999</c:v>
                </c:pt>
                <c:pt idx="3">
                  <c:v>25.76</c:v>
                </c:pt>
                <c:pt idx="4">
                  <c:v>23.54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A4F-4D8F-A5CA-A1E2FE46194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32060568"/>
        <c:axId val="632058272"/>
      </c:lineChart>
      <c:catAx>
        <c:axId val="632060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632058272"/>
        <c:crosses val="autoZero"/>
        <c:auto val="0"/>
        <c:lblAlgn val="ctr"/>
        <c:lblOffset val="100"/>
        <c:noMultiLvlLbl val="0"/>
      </c:catAx>
      <c:valAx>
        <c:axId val="632058272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Days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632060568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Payable Days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Payable Days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2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2-5689-4F6D-A816-3CA9754A1EF8}"/>
              </c:ext>
            </c:extLst>
          </c:dPt>
          <c:dPt>
            <c:idx val="3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5689-4F6D-A816-3CA9754A1EF8}"/>
              </c:ext>
            </c:extLst>
          </c:dPt>
          <c:dPt>
            <c:idx val="4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4-5689-4F6D-A816-3CA9754A1EF8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'Payable Days'!$C$3:$G$3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'Payable Days'!$C$8:$G$8</c:f>
              <c:numCache>
                <c:formatCode>General</c:formatCode>
                <c:ptCount val="5"/>
                <c:pt idx="0">
                  <c:v>4130.05</c:v>
                </c:pt>
                <c:pt idx="1">
                  <c:v>3870.7</c:v>
                </c:pt>
                <c:pt idx="2">
                  <c:v>4242.83</c:v>
                </c:pt>
                <c:pt idx="3">
                  <c:v>4262.51</c:v>
                </c:pt>
                <c:pt idx="4">
                  <c:v>5114.45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689-4F6D-A816-3CA9754A1EF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1265024"/>
        <c:axId val="555560112"/>
      </c:lineChart>
      <c:catAx>
        <c:axId val="4512650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55560112"/>
        <c:crosses val="autoZero"/>
        <c:auto val="0"/>
        <c:lblAlgn val="ctr"/>
        <c:lblOffset val="100"/>
        <c:noMultiLvlLbl val="0"/>
      </c:catAx>
      <c:valAx>
        <c:axId val="555560112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Days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451265024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Receivable Days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Receivable Days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2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2-2554-42EF-A233-6E7FED2D9AEA}"/>
              </c:ext>
            </c:extLst>
          </c:dPt>
          <c:dPt>
            <c:idx val="3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2554-42EF-A233-6E7FED2D9AEA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'Receivable Days'!$C$3:$G$3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'Receivable Days'!$C$8:$G$8</c:f>
              <c:numCache>
                <c:formatCode>General</c:formatCode>
                <c:ptCount val="5"/>
                <c:pt idx="0">
                  <c:v>24.94</c:v>
                </c:pt>
                <c:pt idx="1">
                  <c:v>14.27</c:v>
                </c:pt>
                <c:pt idx="2">
                  <c:v>38.96</c:v>
                </c:pt>
                <c:pt idx="3">
                  <c:v>56.49</c:v>
                </c:pt>
                <c:pt idx="4">
                  <c:v>37.82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554-42EF-A233-6E7FED2D9AE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53939000"/>
        <c:axId val="553942608"/>
      </c:lineChart>
      <c:catAx>
        <c:axId val="5539390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53942608"/>
        <c:crosses val="autoZero"/>
        <c:auto val="0"/>
        <c:lblAlgn val="ctr"/>
        <c:lblOffset val="100"/>
        <c:noMultiLvlLbl val="0"/>
      </c:catAx>
      <c:valAx>
        <c:axId val="553942608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Days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53939000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Operating Cycle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Operating Cycle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2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2-6AA4-4D7C-B919-1A24A90B4A90}"/>
              </c:ext>
            </c:extLst>
          </c:dPt>
          <c:dPt>
            <c:idx val="3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6AA4-4D7C-B919-1A24A90B4A90}"/>
              </c:ext>
            </c:extLst>
          </c:dPt>
          <c:dPt>
            <c:idx val="4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4-6AA4-4D7C-B919-1A24A90B4A90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'Operating Cycle'!$C$3:$G$3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'Operating Cycle'!$C$12:$G$12</c:f>
              <c:numCache>
                <c:formatCode>.00</c:formatCode>
                <c:ptCount val="5"/>
                <c:pt idx="0">
                  <c:v>4148.55</c:v>
                </c:pt>
                <c:pt idx="1">
                  <c:v>3885.2</c:v>
                </c:pt>
                <c:pt idx="2">
                  <c:v>4260.7299999999996</c:v>
                </c:pt>
                <c:pt idx="3">
                  <c:v>4288.2700000000004</c:v>
                </c:pt>
                <c:pt idx="4">
                  <c:v>5137.99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AA4-4D7C-B919-1A24A90B4A9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61825928"/>
        <c:axId val="361823960"/>
      </c:lineChart>
      <c:catAx>
        <c:axId val="3618259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361823960"/>
        <c:crosses val="autoZero"/>
        <c:auto val="0"/>
        <c:lblAlgn val="ctr"/>
        <c:lblOffset val="100"/>
        <c:noMultiLvlLbl val="0"/>
      </c:catAx>
      <c:valAx>
        <c:axId val="361823960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Days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crossAx val="361825928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Cash Conversion Cycle Days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Cash Conversion Cycle Days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2-040F-4517-88C4-6AD3EF830A6F}"/>
              </c:ext>
            </c:extLst>
          </c:dPt>
          <c:dPt>
            <c:idx val="4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040F-4517-88C4-6AD3EF830A6F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'Cash Conversion Cycle Days'!$C$3:$G$3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'Cash Conversion Cycle Days'!$C$16:$G$16</c:f>
              <c:numCache>
                <c:formatCode>.00</c:formatCode>
                <c:ptCount val="5"/>
                <c:pt idx="0">
                  <c:v>-18.5</c:v>
                </c:pt>
                <c:pt idx="1">
                  <c:v>-14.5</c:v>
                </c:pt>
                <c:pt idx="2">
                  <c:v>-17.899999999999999</c:v>
                </c:pt>
                <c:pt idx="3">
                  <c:v>-25.76</c:v>
                </c:pt>
                <c:pt idx="4">
                  <c:v>-23.54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40F-4517-88C4-6AD3EF830A6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61825272"/>
        <c:axId val="361826584"/>
      </c:lineChart>
      <c:catAx>
        <c:axId val="3618252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361826584"/>
        <c:crosses val="autoZero"/>
        <c:auto val="0"/>
        <c:lblAlgn val="ctr"/>
        <c:lblOffset val="100"/>
        <c:noMultiLvlLbl val="0"/>
      </c:catAx>
      <c:valAx>
        <c:axId val="361826584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Days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crossAx val="361825272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Net Worth Vs Total Liabilities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Net Worth</c:v>
          </c:tx>
          <c:spPr>
            <a:solidFill>
              <a:srgbClr val="0000FF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NetWorthVsTotalLiabilties!$C$4:$G$4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NetWorthVsTotalLiabilties!$C$5:$G$5</c:f>
              <c:numCache>
                <c:formatCode>.00</c:formatCode>
                <c:ptCount val="5"/>
                <c:pt idx="0">
                  <c:v>19846.57</c:v>
                </c:pt>
                <c:pt idx="1">
                  <c:v>21646.609999999993</c:v>
                </c:pt>
                <c:pt idx="2">
                  <c:v>21128.789999999983</c:v>
                </c:pt>
                <c:pt idx="3">
                  <c:v>17788.009999999995</c:v>
                </c:pt>
                <c:pt idx="4">
                  <c:v>37587.069999999992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E76-4854-8656-7F3A0DC790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47838008"/>
        <c:axId val="447836368"/>
      </c:barChart>
      <c:lineChart>
        <c:grouping val="standard"/>
        <c:varyColors val="0"/>
        <c:ser>
          <c:idx val="1"/>
          <c:order val="1"/>
          <c:tx>
            <c:v>Total Liabilities</c:v>
          </c:tx>
          <c:spPr>
            <a:ln w="38100">
              <a:solidFill>
                <a:srgbClr val="E00000"/>
              </a:solidFill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NetWorthVsTotalLiabilties!$C$6:$G$6</c:f>
              <c:numCache>
                <c:formatCode>.00</c:formatCode>
                <c:ptCount val="5"/>
                <c:pt idx="0">
                  <c:v>127491.73</c:v>
                </c:pt>
                <c:pt idx="1">
                  <c:v>127911.51999999997</c:v>
                </c:pt>
                <c:pt idx="2">
                  <c:v>139299.34999999998</c:v>
                </c:pt>
                <c:pt idx="3">
                  <c:v>143050.34</c:v>
                </c:pt>
                <c:pt idx="4">
                  <c:v>174687.36000000002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EE76-4854-8656-7F3A0DC790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7838008"/>
        <c:axId val="447836368"/>
      </c:lineChart>
      <c:catAx>
        <c:axId val="4478380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1">
                    <a:solidFill>
                      <a:srgbClr val="0000FF"/>
                    </a:solidFill>
                  </a:defRPr>
                </a:pPr>
                <a:r>
                  <a:rPr lang="en-US" sz="1100" b="1">
                    <a:solidFill>
                      <a:srgbClr val="0000FF"/>
                    </a:solidFill>
                  </a:rPr>
                  <a:t>Years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47836368"/>
        <c:crosses val="autoZero"/>
        <c:auto val="1"/>
        <c:lblAlgn val="ctr"/>
        <c:lblOffset val="100"/>
        <c:noMultiLvlLbl val="0"/>
      </c:catAx>
      <c:valAx>
        <c:axId val="447836368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100" b="1">
                    <a:solidFill>
                      <a:srgbClr val="800000"/>
                    </a:solidFill>
                  </a:defRPr>
                </a:pPr>
                <a:r>
                  <a:rPr lang="en-US" sz="1100" b="1">
                    <a:solidFill>
                      <a:srgbClr val="800000"/>
                    </a:solidFill>
                  </a:rPr>
                  <a:t>NetWorth Vs Total Liabilities(Cr)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47838008"/>
        <c:crosses val="autoZero"/>
        <c:crossBetween val="between"/>
      </c:valAx>
    </c:plotArea>
    <c:legend>
      <c:legendPos val="t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254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PBDIT And PBIT Comparision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PBDIT</c:v>
          </c:tx>
          <c:spPr>
            <a:solidFill>
              <a:srgbClr val="0000FF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PBDITvsPBIT!$C$4:$G$4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PBDITvsPBIT!$C$5:$G$5</c:f>
              <c:numCache>
                <c:formatCode>.00</c:formatCode>
                <c:ptCount val="5"/>
                <c:pt idx="0">
                  <c:v>12114.820000000007</c:v>
                </c:pt>
                <c:pt idx="1">
                  <c:v>25172.009999999995</c:v>
                </c:pt>
                <c:pt idx="2">
                  <c:v>20484.26999999999</c:v>
                </c:pt>
                <c:pt idx="3">
                  <c:v>14023.340000000011</c:v>
                </c:pt>
                <c:pt idx="4">
                  <c:v>31007.08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F95-4F79-B76E-7309FF5F8909}"/>
            </c:ext>
          </c:extLst>
        </c:ser>
        <c:ser>
          <c:idx val="1"/>
          <c:order val="1"/>
          <c:tx>
            <c:v>PBIT</c:v>
          </c:tx>
          <c:spPr>
            <a:solidFill>
              <a:srgbClr val="800000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PBDITvsPBIT!$C$6:$G$6</c:f>
              <c:numCache>
                <c:formatCode>.00</c:formatCode>
                <c:ptCount val="5"/>
                <c:pt idx="0">
                  <c:v>9048.440000000006</c:v>
                </c:pt>
                <c:pt idx="1">
                  <c:v>21721.649999999994</c:v>
                </c:pt>
                <c:pt idx="2">
                  <c:v>17033.429999999989</c:v>
                </c:pt>
                <c:pt idx="3">
                  <c:v>10314.420000000011</c:v>
                </c:pt>
                <c:pt idx="4">
                  <c:v>26578.410000000003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F95-4F79-B76E-7309FF5F890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6879360"/>
        <c:axId val="449422720"/>
      </c:barChart>
      <c:catAx>
        <c:axId val="1068793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1">
                    <a:solidFill>
                      <a:srgbClr val="0000FF"/>
                    </a:solidFill>
                  </a:defRPr>
                </a:pPr>
                <a:r>
                  <a:rPr lang="en-US" sz="1100" b="1">
                    <a:solidFill>
                      <a:srgbClr val="0000FF"/>
                    </a:solidFill>
                  </a:rPr>
                  <a:t>Years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49422720"/>
        <c:crosses val="autoZero"/>
        <c:auto val="1"/>
        <c:lblAlgn val="ctr"/>
        <c:lblOffset val="100"/>
        <c:noMultiLvlLbl val="0"/>
      </c:catAx>
      <c:valAx>
        <c:axId val="449422720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100" b="1">
                    <a:solidFill>
                      <a:srgbClr val="800000"/>
                    </a:solidFill>
                  </a:defRPr>
                </a:pPr>
                <a:r>
                  <a:rPr lang="en-US" sz="1100" b="1">
                    <a:solidFill>
                      <a:srgbClr val="800000"/>
                    </a:solidFill>
                  </a:rPr>
                  <a:t>PBDIT Vs PBIT(Cr)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106879360"/>
        <c:crosses val="autoZero"/>
        <c:crossBetween val="between"/>
      </c:valAx>
    </c:plotArea>
    <c:legend>
      <c:legendPos val="t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254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Book Value  Per Share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Book Value  Per Share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C67B-4141-B725-143B0C9B9150}"/>
              </c:ext>
            </c:extLst>
          </c:dPt>
          <c:dPt>
            <c:idx val="2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C67B-4141-B725-143B0C9B9150}"/>
              </c:ext>
            </c:extLst>
          </c:dPt>
          <c:dPt>
            <c:idx val="3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C67B-4141-B725-143B0C9B9150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'Book Value  Per Share'!$C$3:$G$3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'Book Value  Per Share'!$C$8:$G$8</c:f>
              <c:numCache>
                <c:formatCode>General</c:formatCode>
                <c:ptCount val="5"/>
                <c:pt idx="0">
                  <c:v>44.46</c:v>
                </c:pt>
                <c:pt idx="1">
                  <c:v>51.43</c:v>
                </c:pt>
                <c:pt idx="2">
                  <c:v>62.28</c:v>
                </c:pt>
                <c:pt idx="3">
                  <c:v>85.62</c:v>
                </c:pt>
                <c:pt idx="4">
                  <c:v>53.16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C67B-4141-B725-143B0C9B91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27514800"/>
        <c:axId val="627515128"/>
      </c:lineChart>
      <c:catAx>
        <c:axId val="6275148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627515128"/>
        <c:crosses val="autoZero"/>
        <c:auto val="0"/>
        <c:lblAlgn val="ctr"/>
        <c:lblOffset val="100"/>
        <c:noMultiLvlLbl val="0"/>
      </c:catAx>
      <c:valAx>
        <c:axId val="627515128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Rupees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627514800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Current Assets Vs Current Liabilites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Total Current Assets</c:v>
          </c:tx>
          <c:spPr>
            <a:solidFill>
              <a:srgbClr val="0000FF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CAvsCL!$C$4:$G$4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CAvsCL!$C$5:$G$5</c:f>
              <c:numCache>
                <c:formatCode>.00</c:formatCode>
                <c:ptCount val="5"/>
                <c:pt idx="0">
                  <c:v>88119.26999999999</c:v>
                </c:pt>
                <c:pt idx="1">
                  <c:v>89993.729999999981</c:v>
                </c:pt>
                <c:pt idx="2">
                  <c:v>103616.09999999999</c:v>
                </c:pt>
                <c:pt idx="3">
                  <c:v>99507.159999999989</c:v>
                </c:pt>
                <c:pt idx="4">
                  <c:v>120445.67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31A-4605-B213-BC3438F49134}"/>
            </c:ext>
          </c:extLst>
        </c:ser>
        <c:ser>
          <c:idx val="1"/>
          <c:order val="1"/>
          <c:tx>
            <c:v>Total Current Liabilities</c:v>
          </c:tx>
          <c:spPr>
            <a:solidFill>
              <a:srgbClr val="800000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CAvsCL!$C$6:$G$6</c:f>
              <c:numCache>
                <c:formatCode>.00</c:formatCode>
                <c:ptCount val="5"/>
                <c:pt idx="0">
                  <c:v>105751.77</c:v>
                </c:pt>
                <c:pt idx="1">
                  <c:v>103655.38999999998</c:v>
                </c:pt>
                <c:pt idx="2">
                  <c:v>111043.45</c:v>
                </c:pt>
                <c:pt idx="3">
                  <c:v>118223.88</c:v>
                </c:pt>
                <c:pt idx="4">
                  <c:v>132305.72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31A-4605-B213-BC3438F4913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64913448"/>
        <c:axId val="364914760"/>
      </c:barChart>
      <c:catAx>
        <c:axId val="3649134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1">
                    <a:solidFill>
                      <a:srgbClr val="0000FF"/>
                    </a:solidFill>
                  </a:defRPr>
                </a:pPr>
                <a:r>
                  <a:rPr lang="en-US" sz="1100" b="1">
                    <a:solidFill>
                      <a:srgbClr val="0000FF"/>
                    </a:solidFill>
                  </a:rPr>
                  <a:t>Years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364914760"/>
        <c:crosses val="autoZero"/>
        <c:auto val="1"/>
        <c:lblAlgn val="ctr"/>
        <c:lblOffset val="100"/>
        <c:noMultiLvlLbl val="0"/>
      </c:catAx>
      <c:valAx>
        <c:axId val="364914760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100" b="1">
                    <a:solidFill>
                      <a:srgbClr val="800000"/>
                    </a:solidFill>
                  </a:defRPr>
                </a:pPr>
                <a:r>
                  <a:rPr lang="en-US" sz="1100" b="1">
                    <a:solidFill>
                      <a:srgbClr val="800000"/>
                    </a:solidFill>
                  </a:rPr>
                  <a:t>Cur Assets Vs Cur Liabilities(Cr)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364913448"/>
        <c:crosses val="autoZero"/>
        <c:crossBetween val="between"/>
      </c:valAx>
    </c:plotArea>
    <c:legend>
      <c:legendPos val="t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254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Long Term Vs Short Term Provisions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Long Term Provisions</c:v>
          </c:tx>
          <c:spPr>
            <a:ln w="38100">
              <a:solidFill>
                <a:srgbClr val="E00000"/>
              </a:solidFill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'Long And Short Term Provisions'!$C$4:$G$4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'Long And Short Term Provisions'!$C$5:$G$5</c:f>
              <c:numCache>
                <c:formatCode>.00</c:formatCode>
                <c:ptCount val="5"/>
                <c:pt idx="0">
                  <c:v>49903.1</c:v>
                </c:pt>
                <c:pt idx="1">
                  <c:v>52419.56</c:v>
                </c:pt>
                <c:pt idx="2">
                  <c:v>60223.45</c:v>
                </c:pt>
                <c:pt idx="3">
                  <c:v>63178.61</c:v>
                </c:pt>
                <c:pt idx="4">
                  <c:v>65944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E11-4752-8363-6E943D40F6D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50183480"/>
        <c:axId val="450185776"/>
      </c:lineChart>
      <c:lineChart>
        <c:grouping val="standard"/>
        <c:varyColors val="0"/>
        <c:ser>
          <c:idx val="1"/>
          <c:order val="1"/>
          <c:tx>
            <c:v>Short Term Provisions</c:v>
          </c:tx>
          <c:spPr>
            <a:ln w="38100">
              <a:solidFill>
                <a:srgbClr val="0000E0"/>
              </a:solidFill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'Long And Short Term Provisions'!$C$6:$G$6</c:f>
              <c:numCache>
                <c:formatCode>.00</c:formatCode>
                <c:ptCount val="5"/>
                <c:pt idx="0">
                  <c:v>14813.59</c:v>
                </c:pt>
                <c:pt idx="1">
                  <c:v>7136.44</c:v>
                </c:pt>
                <c:pt idx="2">
                  <c:v>6781.44</c:v>
                </c:pt>
                <c:pt idx="3">
                  <c:v>6465.9</c:v>
                </c:pt>
                <c:pt idx="4">
                  <c:v>6094.68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AE11-4752-8363-6E943D40F6D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50184464"/>
        <c:axId val="450184136"/>
      </c:lineChart>
      <c:catAx>
        <c:axId val="4501834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450185776"/>
        <c:crosses val="autoZero"/>
        <c:auto val="1"/>
        <c:lblAlgn val="ctr"/>
        <c:lblOffset val="100"/>
        <c:noMultiLvlLbl val="0"/>
      </c:catAx>
      <c:valAx>
        <c:axId val="450185776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100" b="1">
                    <a:solidFill>
                      <a:srgbClr val="800000"/>
                    </a:solidFill>
                  </a:defRPr>
                </a:pPr>
                <a:r>
                  <a:rPr lang="en-US" sz="1100" b="1">
                    <a:solidFill>
                      <a:srgbClr val="800000"/>
                    </a:solidFill>
                  </a:rPr>
                  <a:t>Long Term Provisions(Cr)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50183480"/>
        <c:crosses val="autoZero"/>
        <c:crossBetween val="between"/>
      </c:valAx>
      <c:valAx>
        <c:axId val="450184136"/>
        <c:scaling>
          <c:orientation val="minMax"/>
        </c:scaling>
        <c:delete val="0"/>
        <c:axPos val="r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Short Term Provisions(Cr)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0000FF"/>
                </a:solidFill>
              </a:defRPr>
            </a:pPr>
            <a:endParaRPr lang="en-US"/>
          </a:p>
        </c:txPr>
        <c:crossAx val="450184464"/>
        <c:crosses val="max"/>
        <c:crossBetween val="between"/>
      </c:valAx>
      <c:catAx>
        <c:axId val="450184464"/>
        <c:scaling>
          <c:orientation val="minMax"/>
        </c:scaling>
        <c:delete val="1"/>
        <c:axPos val="b"/>
        <c:majorTickMark val="out"/>
        <c:minorTickMark val="none"/>
        <c:tickLblPos val="nextTo"/>
        <c:crossAx val="450184136"/>
        <c:auto val="1"/>
        <c:lblAlgn val="ctr"/>
        <c:lblOffset val="100"/>
        <c:noMultiLvlLbl val="0"/>
      </c:catAx>
    </c:plotArea>
    <c:legend>
      <c:legendPos val="t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254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Cost Of Material Vs Direct Expenses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Cost Of Materials Consumed</c:v>
          </c:tx>
          <c:spPr>
            <a:ln w="38100">
              <a:solidFill>
                <a:srgbClr val="E00000"/>
              </a:solidFill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MaterialConsumed_DirectExpenses!$C$4:$G$4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MaterialConsumed_DirectExpenses!$C$5:$G$5</c:f>
              <c:numCache>
                <c:formatCode>.00</c:formatCode>
                <c:ptCount val="5"/>
                <c:pt idx="0">
                  <c:v>9345.99</c:v>
                </c:pt>
                <c:pt idx="1">
                  <c:v>9774.51</c:v>
                </c:pt>
                <c:pt idx="2">
                  <c:v>9552.7800000000007</c:v>
                </c:pt>
                <c:pt idx="3">
                  <c:v>10123.540000000001</c:v>
                </c:pt>
                <c:pt idx="4">
                  <c:v>9442.18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438-4709-8E0C-C2E59C3E9B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51266992"/>
        <c:axId val="622625488"/>
      </c:lineChart>
      <c:lineChart>
        <c:grouping val="standard"/>
        <c:varyColors val="0"/>
        <c:ser>
          <c:idx val="1"/>
          <c:order val="1"/>
          <c:tx>
            <c:v>Operating And Direct Expenses</c:v>
          </c:tx>
          <c:spPr>
            <a:ln w="38100">
              <a:solidFill>
                <a:srgbClr val="0000E0"/>
              </a:solidFill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MaterialConsumed_DirectExpenses!$C$6:$G$6</c:f>
              <c:numCache>
                <c:formatCode>.00</c:formatCode>
                <c:ptCount val="5"/>
                <c:pt idx="0">
                  <c:v>12766.97</c:v>
                </c:pt>
                <c:pt idx="1">
                  <c:v>19895.59</c:v>
                </c:pt>
                <c:pt idx="2">
                  <c:v>19453.419999999998</c:v>
                </c:pt>
                <c:pt idx="3">
                  <c:v>16023.08</c:v>
                </c:pt>
                <c:pt idx="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4438-4709-8E0C-C2E59C3E9B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22631720"/>
        <c:axId val="622629424"/>
      </c:lineChart>
      <c:catAx>
        <c:axId val="4512669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622625488"/>
        <c:crosses val="autoZero"/>
        <c:auto val="1"/>
        <c:lblAlgn val="ctr"/>
        <c:lblOffset val="100"/>
        <c:noMultiLvlLbl val="0"/>
      </c:catAx>
      <c:valAx>
        <c:axId val="622625488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100" b="1">
                    <a:solidFill>
                      <a:srgbClr val="800000"/>
                    </a:solidFill>
                  </a:defRPr>
                </a:pPr>
                <a:r>
                  <a:rPr lang="en-US" sz="1100" b="1">
                    <a:solidFill>
                      <a:srgbClr val="800000"/>
                    </a:solidFill>
                  </a:rPr>
                  <a:t>Cost of Material Consumed(Cr)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51266992"/>
        <c:crosses val="autoZero"/>
        <c:crossBetween val="between"/>
      </c:valAx>
      <c:valAx>
        <c:axId val="622629424"/>
        <c:scaling>
          <c:orientation val="minMax"/>
        </c:scaling>
        <c:delete val="0"/>
        <c:axPos val="r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Operating And Direct Expenses(Cr)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0000FF"/>
                </a:solidFill>
              </a:defRPr>
            </a:pPr>
            <a:endParaRPr lang="en-US"/>
          </a:p>
        </c:txPr>
        <c:crossAx val="622631720"/>
        <c:crosses val="max"/>
        <c:crossBetween val="between"/>
      </c:valAx>
      <c:catAx>
        <c:axId val="622631720"/>
        <c:scaling>
          <c:orientation val="minMax"/>
        </c:scaling>
        <c:delete val="1"/>
        <c:axPos val="b"/>
        <c:majorTickMark val="out"/>
        <c:minorTickMark val="none"/>
        <c:tickLblPos val="nextTo"/>
        <c:crossAx val="622629424"/>
        <c:auto val="1"/>
        <c:lblAlgn val="ctr"/>
        <c:lblOffset val="100"/>
        <c:noMultiLvlLbl val="0"/>
      </c:catAx>
    </c:plotArea>
    <c:legend>
      <c:legendPos val="t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254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Gross Sales In Total Income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Gross Sales</c:v>
          </c:tx>
          <c:spPr>
            <a:noFill/>
            <a:ln w="31750">
              <a:solidFill>
                <a:srgbClr val="C00000"/>
              </a:solidFill>
            </a:ln>
            <a:extLst>
              <a:ext uri="{909E8E84-426E-40DD-AFC4-6F175D3DCCD1}">
                <a14:hiddenFill xmlns:a14="http://schemas.microsoft.com/office/drawing/2010/main">
                  <a:solidFill>
                    <a:srgbClr val="0000FF"/>
                  </a:solidFill>
                </a14:hiddenFill>
              </a:ext>
            </a:ex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'Gross Sales In Total Income'!$C$4:$G$4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'Gross Sales In Total Income'!$C$5:$G$5</c:f>
              <c:numCache>
                <c:formatCode>.00</c:formatCode>
                <c:ptCount val="5"/>
                <c:pt idx="0">
                  <c:v>127162.17</c:v>
                </c:pt>
                <c:pt idx="1">
                  <c:v>140603</c:v>
                </c:pt>
                <c:pt idx="2">
                  <c:v>134979.13</c:v>
                </c:pt>
                <c:pt idx="3">
                  <c:v>126786.13</c:v>
                </c:pt>
                <c:pt idx="4">
                  <c:v>109713.5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BCF-42AA-99B6-F6A9FD6EA05E}"/>
            </c:ext>
          </c:extLst>
        </c:ser>
        <c:ser>
          <c:idx val="1"/>
          <c:order val="1"/>
          <c:tx>
            <c:v>Total Income</c:v>
          </c:tx>
          <c:spPr>
            <a:solidFill>
              <a:srgbClr val="800000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'Gross Sales In Total Income'!$C$6:$G$6</c:f>
              <c:numCache>
                <c:formatCode>.00</c:formatCode>
                <c:ptCount val="5"/>
                <c:pt idx="0">
                  <c:v>86358.32</c:v>
                </c:pt>
                <c:pt idx="1">
                  <c:v>98769.81</c:v>
                </c:pt>
                <c:pt idx="2">
                  <c:v>95478.739999999991</c:v>
                </c:pt>
                <c:pt idx="3">
                  <c:v>86502.700000000012</c:v>
                </c:pt>
                <c:pt idx="4">
                  <c:v>113618.02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BCF-42AA-99B6-F6A9FD6EA0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622625816"/>
        <c:axId val="622631392"/>
      </c:barChart>
      <c:catAx>
        <c:axId val="6226258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1">
                    <a:solidFill>
                      <a:srgbClr val="0000FF"/>
                    </a:solidFill>
                  </a:defRPr>
                </a:pPr>
                <a:r>
                  <a:rPr lang="en-US" sz="1100" b="1">
                    <a:solidFill>
                      <a:srgbClr val="0000FF"/>
                    </a:solidFill>
                  </a:rPr>
                  <a:t>Years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622631392"/>
        <c:crosses val="autoZero"/>
        <c:auto val="1"/>
        <c:lblAlgn val="ctr"/>
        <c:lblOffset val="100"/>
        <c:noMultiLvlLbl val="0"/>
      </c:catAx>
      <c:valAx>
        <c:axId val="622631392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100" b="1">
                    <a:solidFill>
                      <a:srgbClr val="800000"/>
                    </a:solidFill>
                  </a:defRPr>
                </a:pPr>
                <a:r>
                  <a:rPr lang="en-US" sz="1100" b="1">
                    <a:solidFill>
                      <a:srgbClr val="800000"/>
                    </a:solidFill>
                  </a:rPr>
                  <a:t>Rs in Crs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622625816"/>
        <c:crosses val="autoZero"/>
        <c:crossBetween val="between"/>
      </c:valAx>
    </c:plotArea>
    <c:legend>
      <c:legendPos val="t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254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Total Debt in Liabilities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Total Liabilities</c:v>
          </c:tx>
          <c:spPr>
            <a:noFill/>
            <a:ln w="31750">
              <a:solidFill>
                <a:srgbClr val="C00000"/>
              </a:solidFill>
            </a:ln>
            <a:extLst>
              <a:ext uri="{909E8E84-426E-40DD-AFC4-6F175D3DCCD1}">
                <a14:hiddenFill xmlns:a14="http://schemas.microsoft.com/office/drawing/2010/main">
                  <a:solidFill>
                    <a:srgbClr val="0000FF"/>
                  </a:solidFill>
                </a14:hiddenFill>
              </a:ext>
            </a:ex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Total_Debt_In_Liabilities!$C$4:$G$4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Total_Debt_In_Liabilities!$C$5:$G$5</c:f>
              <c:numCache>
                <c:formatCode>.00</c:formatCode>
                <c:ptCount val="5"/>
                <c:pt idx="0">
                  <c:v>127491.73</c:v>
                </c:pt>
                <c:pt idx="1">
                  <c:v>127911.51999999997</c:v>
                </c:pt>
                <c:pt idx="2">
                  <c:v>139299.34999999998</c:v>
                </c:pt>
                <c:pt idx="3">
                  <c:v>143050.34</c:v>
                </c:pt>
                <c:pt idx="4">
                  <c:v>174687.36000000002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CBE-489D-AC6A-910E4DAE2956}"/>
            </c:ext>
          </c:extLst>
        </c:ser>
        <c:ser>
          <c:idx val="1"/>
          <c:order val="1"/>
          <c:tx>
            <c:v>Total Debt</c:v>
          </c:tx>
          <c:spPr>
            <a:solidFill>
              <a:srgbClr val="800000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Total_Debt_In_Liabilities!$C$6:$G$6</c:f>
              <c:numCache>
                <c:formatCode>.00</c:formatCode>
                <c:ptCount val="5"/>
                <c:pt idx="0">
                  <c:v>1530.94</c:v>
                </c:pt>
                <c:pt idx="1">
                  <c:v>2202.7399999999998</c:v>
                </c:pt>
                <c:pt idx="2">
                  <c:v>6733.03</c:v>
                </c:pt>
                <c:pt idx="3">
                  <c:v>6597.37</c:v>
                </c:pt>
                <c:pt idx="4">
                  <c:v>4120.78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CBE-489D-AC6A-910E4DAE295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64048992"/>
        <c:axId val="364045384"/>
      </c:barChart>
      <c:catAx>
        <c:axId val="3640489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1">
                    <a:solidFill>
                      <a:srgbClr val="0000FF"/>
                    </a:solidFill>
                  </a:defRPr>
                </a:pPr>
                <a:r>
                  <a:rPr lang="en-US" sz="1100" b="1">
                    <a:solidFill>
                      <a:srgbClr val="0000FF"/>
                    </a:solidFill>
                  </a:rPr>
                  <a:t>Years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364045384"/>
        <c:crosses val="autoZero"/>
        <c:auto val="1"/>
        <c:lblAlgn val="ctr"/>
        <c:lblOffset val="100"/>
        <c:noMultiLvlLbl val="0"/>
      </c:catAx>
      <c:valAx>
        <c:axId val="364045384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100" b="1">
                    <a:solidFill>
                      <a:srgbClr val="800000"/>
                    </a:solidFill>
                  </a:defRPr>
                </a:pPr>
                <a:r>
                  <a:rPr lang="en-US" sz="1100" b="1">
                    <a:solidFill>
                      <a:srgbClr val="800000"/>
                    </a:solidFill>
                  </a:rPr>
                  <a:t>Rs in Crs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364048992"/>
        <c:crosses val="autoZero"/>
        <c:crossBetween val="between"/>
      </c:valAx>
    </c:plotArea>
    <c:legend>
      <c:legendPos val="t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254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Total CL in Liabilities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Total Liabilities</c:v>
          </c:tx>
          <c:spPr>
            <a:noFill/>
            <a:ln w="31750">
              <a:solidFill>
                <a:srgbClr val="C00000"/>
              </a:solidFill>
            </a:ln>
            <a:extLst>
              <a:ext uri="{909E8E84-426E-40DD-AFC4-6F175D3DCCD1}">
                <a14:hiddenFill xmlns:a14="http://schemas.microsoft.com/office/drawing/2010/main">
                  <a:solidFill>
                    <a:srgbClr val="0000FF"/>
                  </a:solidFill>
                </a14:hiddenFill>
              </a:ext>
            </a:ex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Total_CL_In_Liabilities!$C$4:$G$4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Total_CL_In_Liabilities!$C$5:$G$5</c:f>
              <c:numCache>
                <c:formatCode>.00</c:formatCode>
                <c:ptCount val="5"/>
                <c:pt idx="0">
                  <c:v>127491.73</c:v>
                </c:pt>
                <c:pt idx="1">
                  <c:v>127911.51999999997</c:v>
                </c:pt>
                <c:pt idx="2">
                  <c:v>139299.34999999998</c:v>
                </c:pt>
                <c:pt idx="3">
                  <c:v>143050.34</c:v>
                </c:pt>
                <c:pt idx="4">
                  <c:v>174687.36000000002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511-44ED-847F-99D6AE32375D}"/>
            </c:ext>
          </c:extLst>
        </c:ser>
        <c:ser>
          <c:idx val="1"/>
          <c:order val="1"/>
          <c:tx>
            <c:v>Total Current Liabilities</c:v>
          </c:tx>
          <c:spPr>
            <a:solidFill>
              <a:srgbClr val="800000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Total_CL_In_Liabilities!$C$6:$G$6</c:f>
              <c:numCache>
                <c:formatCode>.00</c:formatCode>
                <c:ptCount val="5"/>
                <c:pt idx="0">
                  <c:v>105751.77</c:v>
                </c:pt>
                <c:pt idx="1">
                  <c:v>103655.38999999998</c:v>
                </c:pt>
                <c:pt idx="2">
                  <c:v>111043.45</c:v>
                </c:pt>
                <c:pt idx="3">
                  <c:v>118223.88</c:v>
                </c:pt>
                <c:pt idx="4">
                  <c:v>132305.72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511-44ED-847F-99D6AE3237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49439184"/>
        <c:axId val="449439512"/>
      </c:barChart>
      <c:catAx>
        <c:axId val="4494391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1">
                    <a:solidFill>
                      <a:srgbClr val="0000FF"/>
                    </a:solidFill>
                  </a:defRPr>
                </a:pPr>
                <a:r>
                  <a:rPr lang="en-US" sz="1100" b="1">
                    <a:solidFill>
                      <a:srgbClr val="0000FF"/>
                    </a:solidFill>
                  </a:rPr>
                  <a:t>Years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49439512"/>
        <c:crosses val="autoZero"/>
        <c:auto val="1"/>
        <c:lblAlgn val="ctr"/>
        <c:lblOffset val="100"/>
        <c:noMultiLvlLbl val="0"/>
      </c:catAx>
      <c:valAx>
        <c:axId val="449439512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100" b="1">
                    <a:solidFill>
                      <a:srgbClr val="800000"/>
                    </a:solidFill>
                  </a:defRPr>
                </a:pPr>
                <a:r>
                  <a:rPr lang="en-US" sz="1100" b="1">
                    <a:solidFill>
                      <a:srgbClr val="800000"/>
                    </a:solidFill>
                  </a:rPr>
                  <a:t>Rs in Crs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49439184"/>
        <c:crosses val="autoZero"/>
        <c:crossBetween val="between"/>
      </c:valAx>
    </c:plotArea>
    <c:legend>
      <c:legendPos val="t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254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Total FA in Assets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Total Assets</c:v>
          </c:tx>
          <c:spPr>
            <a:noFill/>
            <a:ln w="31750">
              <a:solidFill>
                <a:srgbClr val="C00000"/>
              </a:solidFill>
            </a:ln>
            <a:extLst>
              <a:ext uri="{909E8E84-426E-40DD-AFC4-6F175D3DCCD1}">
                <a14:hiddenFill xmlns:a14="http://schemas.microsoft.com/office/drawing/2010/main">
                  <a:solidFill>
                    <a:srgbClr val="0000FF"/>
                  </a:solidFill>
                </a14:hiddenFill>
              </a:ext>
            </a:ex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Total_NCA_In_Assets!$C$4:$G$4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Total_NCA_In_Assets!$C$5:$G$5</c:f>
              <c:numCache>
                <c:formatCode>.00</c:formatCode>
                <c:ptCount val="5"/>
                <c:pt idx="0">
                  <c:v>127491.72999999998</c:v>
                </c:pt>
                <c:pt idx="1">
                  <c:v>127911.51999999999</c:v>
                </c:pt>
                <c:pt idx="2">
                  <c:v>139299.34999999998</c:v>
                </c:pt>
                <c:pt idx="3">
                  <c:v>143050.34</c:v>
                </c:pt>
                <c:pt idx="4">
                  <c:v>174687.35999999999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3F7-45E1-95F5-7C7DACA0AECA}"/>
            </c:ext>
          </c:extLst>
        </c:ser>
        <c:ser>
          <c:idx val="1"/>
          <c:order val="1"/>
          <c:tx>
            <c:v>Total Non Current Assets</c:v>
          </c:tx>
          <c:spPr>
            <a:solidFill>
              <a:srgbClr val="800000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Total_NCA_In_Assets!$C$6:$G$6</c:f>
              <c:numCache>
                <c:formatCode>.00</c:formatCode>
                <c:ptCount val="5"/>
                <c:pt idx="0">
                  <c:v>39372.46</c:v>
                </c:pt>
                <c:pt idx="1">
                  <c:v>37917.79</c:v>
                </c:pt>
                <c:pt idx="2">
                  <c:v>35683.25</c:v>
                </c:pt>
                <c:pt idx="3">
                  <c:v>43543.180000000008</c:v>
                </c:pt>
                <c:pt idx="4">
                  <c:v>54241.69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3F7-45E1-95F5-7C7DACA0AEC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622831736"/>
        <c:axId val="622827800"/>
      </c:barChart>
      <c:catAx>
        <c:axId val="6228317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1">
                    <a:solidFill>
                      <a:srgbClr val="0000FF"/>
                    </a:solidFill>
                  </a:defRPr>
                </a:pPr>
                <a:r>
                  <a:rPr lang="en-US" sz="1100" b="1">
                    <a:solidFill>
                      <a:srgbClr val="0000FF"/>
                    </a:solidFill>
                  </a:rPr>
                  <a:t>Years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622827800"/>
        <c:crosses val="autoZero"/>
        <c:auto val="1"/>
        <c:lblAlgn val="ctr"/>
        <c:lblOffset val="100"/>
        <c:noMultiLvlLbl val="0"/>
      </c:catAx>
      <c:valAx>
        <c:axId val="622827800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100" b="1">
                    <a:solidFill>
                      <a:srgbClr val="800000"/>
                    </a:solidFill>
                  </a:defRPr>
                </a:pPr>
                <a:r>
                  <a:rPr lang="en-US" sz="1100" b="1">
                    <a:solidFill>
                      <a:srgbClr val="800000"/>
                    </a:solidFill>
                  </a:rPr>
                  <a:t>Rs in Crs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622831736"/>
        <c:crosses val="autoZero"/>
        <c:crossBetween val="between"/>
      </c:valAx>
    </c:plotArea>
    <c:legend>
      <c:legendPos val="t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254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Total CA in Assets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Total Assets</c:v>
          </c:tx>
          <c:spPr>
            <a:noFill/>
            <a:ln w="31750">
              <a:solidFill>
                <a:srgbClr val="C00000"/>
              </a:solidFill>
            </a:ln>
            <a:extLst>
              <a:ext uri="{909E8E84-426E-40DD-AFC4-6F175D3DCCD1}">
                <a14:hiddenFill xmlns:a14="http://schemas.microsoft.com/office/drawing/2010/main">
                  <a:solidFill>
                    <a:srgbClr val="0000FF"/>
                  </a:solidFill>
                </a14:hiddenFill>
              </a:ext>
            </a:ex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Total_CA_In_Assets!$C$4:$G$4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Total_CA_In_Assets!$C$5:$G$5</c:f>
              <c:numCache>
                <c:formatCode>.00</c:formatCode>
                <c:ptCount val="5"/>
                <c:pt idx="0">
                  <c:v>127491.72999999998</c:v>
                </c:pt>
                <c:pt idx="1">
                  <c:v>127911.51999999999</c:v>
                </c:pt>
                <c:pt idx="2">
                  <c:v>139299.34999999998</c:v>
                </c:pt>
                <c:pt idx="3">
                  <c:v>143050.34</c:v>
                </c:pt>
                <c:pt idx="4">
                  <c:v>174687.35999999999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652-43FF-9EC0-8A1684FC6CE2}"/>
            </c:ext>
          </c:extLst>
        </c:ser>
        <c:ser>
          <c:idx val="1"/>
          <c:order val="1"/>
          <c:tx>
            <c:v>Total Current Assets</c:v>
          </c:tx>
          <c:spPr>
            <a:solidFill>
              <a:srgbClr val="800000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Total_CA_In_Assets!$C$6:$G$6</c:f>
              <c:numCache>
                <c:formatCode>.00</c:formatCode>
                <c:ptCount val="5"/>
                <c:pt idx="0">
                  <c:v>88119.26999999999</c:v>
                </c:pt>
                <c:pt idx="1">
                  <c:v>89993.729999999981</c:v>
                </c:pt>
                <c:pt idx="2">
                  <c:v>103616.09999999999</c:v>
                </c:pt>
                <c:pt idx="3">
                  <c:v>99507.159999999989</c:v>
                </c:pt>
                <c:pt idx="4">
                  <c:v>120445.67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652-43FF-9EC0-8A1684FC6CE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551059512"/>
        <c:axId val="551067056"/>
      </c:barChart>
      <c:catAx>
        <c:axId val="5510595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1">
                    <a:solidFill>
                      <a:srgbClr val="0000FF"/>
                    </a:solidFill>
                  </a:defRPr>
                </a:pPr>
                <a:r>
                  <a:rPr lang="en-US" sz="1100" b="1">
                    <a:solidFill>
                      <a:srgbClr val="0000FF"/>
                    </a:solidFill>
                  </a:rPr>
                  <a:t>Years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51067056"/>
        <c:crosses val="autoZero"/>
        <c:auto val="1"/>
        <c:lblAlgn val="ctr"/>
        <c:lblOffset val="100"/>
        <c:noMultiLvlLbl val="0"/>
      </c:catAx>
      <c:valAx>
        <c:axId val="551067056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100" b="1">
                    <a:solidFill>
                      <a:srgbClr val="800000"/>
                    </a:solidFill>
                  </a:defRPr>
                </a:pPr>
                <a:r>
                  <a:rPr lang="en-US" sz="1100" b="1">
                    <a:solidFill>
                      <a:srgbClr val="800000"/>
                    </a:solidFill>
                  </a:rPr>
                  <a:t>Rs in Crs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51059512"/>
        <c:crosses val="autoZero"/>
        <c:crossBetween val="between"/>
      </c:valAx>
    </c:plotArea>
    <c:legend>
      <c:legendPos val="t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254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Total CA in Assets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Total Expenditure</c:v>
          </c:tx>
          <c:spPr>
            <a:solidFill>
              <a:srgbClr val="0000FF"/>
            </a:solidFill>
            <a:ln w="38100"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TotalExpenditureVsTotalIncome!$C$4:$G$4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TotalExpenditureVsTotalIncome!$C$5:$G$5</c:f>
              <c:numCache>
                <c:formatCode>.00</c:formatCode>
                <c:ptCount val="5"/>
                <c:pt idx="0">
                  <c:v>74243.5</c:v>
                </c:pt>
                <c:pt idx="1">
                  <c:v>73597.8</c:v>
                </c:pt>
                <c:pt idx="2">
                  <c:v>74994.47</c:v>
                </c:pt>
                <c:pt idx="3">
                  <c:v>72479.360000000001</c:v>
                </c:pt>
                <c:pt idx="4">
                  <c:v>82610.94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88B-43C6-8C2E-AD73A3219F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4429672"/>
        <c:axId val="104434920"/>
      </c:barChart>
      <c:lineChart>
        <c:grouping val="standard"/>
        <c:varyColors val="0"/>
        <c:ser>
          <c:idx val="1"/>
          <c:order val="1"/>
          <c:tx>
            <c:v>Total Income</c:v>
          </c:tx>
          <c:spPr>
            <a:ln w="38100">
              <a:solidFill>
                <a:srgbClr val="0000E0"/>
              </a:solidFill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TotalExpenditureVsTotalIncome!$C$6:$G$6</c:f>
              <c:numCache>
                <c:formatCode>.00</c:formatCode>
                <c:ptCount val="5"/>
                <c:pt idx="0">
                  <c:v>86358.32</c:v>
                </c:pt>
                <c:pt idx="1">
                  <c:v>98769.81</c:v>
                </c:pt>
                <c:pt idx="2">
                  <c:v>95478.739999999991</c:v>
                </c:pt>
                <c:pt idx="3">
                  <c:v>86502.700000000012</c:v>
                </c:pt>
                <c:pt idx="4">
                  <c:v>113618.02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988B-43C6-8C2E-AD73A3219F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0765592"/>
        <c:axId val="440768544"/>
      </c:lineChart>
      <c:catAx>
        <c:axId val="1044296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1">
                    <a:solidFill>
                      <a:srgbClr val="0000FF"/>
                    </a:solidFill>
                  </a:defRPr>
                </a:pPr>
                <a:r>
                  <a:rPr lang="en-US" sz="1100" b="1">
                    <a:solidFill>
                      <a:srgbClr val="0000FF"/>
                    </a:solidFill>
                  </a:rPr>
                  <a:t>Years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104434920"/>
        <c:crosses val="autoZero"/>
        <c:auto val="1"/>
        <c:lblAlgn val="ctr"/>
        <c:lblOffset val="100"/>
        <c:noMultiLvlLbl val="0"/>
      </c:catAx>
      <c:valAx>
        <c:axId val="104434920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100" b="1">
                    <a:solidFill>
                      <a:srgbClr val="800000"/>
                    </a:solidFill>
                  </a:defRPr>
                </a:pPr>
                <a:r>
                  <a:rPr lang="en-US" sz="1100" b="1">
                    <a:solidFill>
                      <a:srgbClr val="800000"/>
                    </a:solidFill>
                  </a:rPr>
                  <a:t>Total Expenditure(Cr)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104429672"/>
        <c:crosses val="autoZero"/>
        <c:crossBetween val="between"/>
      </c:valAx>
      <c:valAx>
        <c:axId val="440768544"/>
        <c:scaling>
          <c:orientation val="minMax"/>
        </c:scaling>
        <c:delete val="0"/>
        <c:axPos val="r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Total Income(Cr)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0000FF"/>
                </a:solidFill>
              </a:defRPr>
            </a:pPr>
            <a:endParaRPr lang="en-US"/>
          </a:p>
        </c:txPr>
        <c:crossAx val="440765592"/>
        <c:crosses val="max"/>
        <c:crossBetween val="between"/>
      </c:valAx>
      <c:catAx>
        <c:axId val="440765592"/>
        <c:scaling>
          <c:orientation val="minMax"/>
        </c:scaling>
        <c:delete val="1"/>
        <c:axPos val="b"/>
        <c:majorTickMark val="out"/>
        <c:minorTickMark val="none"/>
        <c:tickLblPos val="nextTo"/>
        <c:crossAx val="440768544"/>
        <c:auto val="1"/>
        <c:lblAlgn val="ctr"/>
        <c:lblOffset val="100"/>
        <c:noMultiLvlLbl val="0"/>
      </c:catAx>
    </c:plotArea>
    <c:legend>
      <c:legendPos val="t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254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Amt C\F to Balance Sheet In Profit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Amount C\F to Balance Sheet</c:v>
          </c:tx>
          <c:spPr>
            <a:solidFill>
              <a:srgbClr val="0000FF"/>
            </a:solidFill>
            <a:ln w="38100"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'Net Profit CF To Balance Sheet'!$C$4:$G$4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'Net Profit CF To Balance Sheet'!$C$5:$G$5</c:f>
              <c:numCache>
                <c:formatCode>.00</c:formatCode>
                <c:ptCount val="5"/>
                <c:pt idx="0">
                  <c:v>-7413.8199999999943</c:v>
                </c:pt>
                <c:pt idx="1">
                  <c:v>1844.7199999999928</c:v>
                </c:pt>
                <c:pt idx="2">
                  <c:v>-517.8200000000088</c:v>
                </c:pt>
                <c:pt idx="3">
                  <c:v>-3340.7799999999888</c:v>
                </c:pt>
                <c:pt idx="4">
                  <c:v>19799.060000000001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C90-4371-AC52-FCD63ED856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22839608"/>
        <c:axId val="622839936"/>
      </c:barChart>
      <c:lineChart>
        <c:grouping val="standard"/>
        <c:varyColors val="0"/>
        <c:ser>
          <c:idx val="1"/>
          <c:order val="1"/>
          <c:tx>
            <c:v>Reported Net Profit(PAT)</c:v>
          </c:tx>
          <c:spPr>
            <a:ln w="38100">
              <a:solidFill>
                <a:srgbClr val="0000E0"/>
              </a:solidFill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'Net Profit CF To Balance Sheet'!$C$6:$G$6</c:f>
              <c:numCache>
                <c:formatCode>.00</c:formatCode>
                <c:ptCount val="5"/>
                <c:pt idx="0">
                  <c:v>4909.9900000000052</c:v>
                </c:pt>
                <c:pt idx="1">
                  <c:v>11784.159999999993</c:v>
                </c:pt>
                <c:pt idx="2">
                  <c:v>9159.5299999999916</c:v>
                </c:pt>
                <c:pt idx="3">
                  <c:v>4362.6600000000108</c:v>
                </c:pt>
                <c:pt idx="4">
                  <c:v>19799.060000000001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0C90-4371-AC52-FCD63ED856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22838952"/>
        <c:axId val="622842560"/>
      </c:lineChart>
      <c:catAx>
        <c:axId val="6228396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1">
                    <a:solidFill>
                      <a:srgbClr val="0000FF"/>
                    </a:solidFill>
                  </a:defRPr>
                </a:pPr>
                <a:r>
                  <a:rPr lang="en-US" sz="1100" b="1">
                    <a:solidFill>
                      <a:srgbClr val="0000FF"/>
                    </a:solidFill>
                  </a:rPr>
                  <a:t>Years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622839936"/>
        <c:crosses val="autoZero"/>
        <c:auto val="1"/>
        <c:lblAlgn val="ctr"/>
        <c:lblOffset val="100"/>
        <c:noMultiLvlLbl val="0"/>
      </c:catAx>
      <c:valAx>
        <c:axId val="622839936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100" b="1">
                    <a:solidFill>
                      <a:srgbClr val="800000"/>
                    </a:solidFill>
                  </a:defRPr>
                </a:pPr>
                <a:r>
                  <a:rPr lang="en-US" sz="1100" b="1">
                    <a:solidFill>
                      <a:srgbClr val="800000"/>
                    </a:solidFill>
                  </a:rPr>
                  <a:t>Amount CF To Balance Sheet(in Cr)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622839608"/>
        <c:crosses val="autoZero"/>
        <c:crossBetween val="between"/>
      </c:valAx>
      <c:valAx>
        <c:axId val="622842560"/>
        <c:scaling>
          <c:orientation val="minMax"/>
        </c:scaling>
        <c:delete val="0"/>
        <c:axPos val="r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Total Income(Cr)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0000FF"/>
                </a:solidFill>
              </a:defRPr>
            </a:pPr>
            <a:endParaRPr lang="en-US"/>
          </a:p>
        </c:txPr>
        <c:crossAx val="622838952"/>
        <c:crosses val="max"/>
        <c:crossBetween val="between"/>
      </c:valAx>
      <c:catAx>
        <c:axId val="622838952"/>
        <c:scaling>
          <c:orientation val="minMax"/>
        </c:scaling>
        <c:delete val="1"/>
        <c:axPos val="b"/>
        <c:majorTickMark val="out"/>
        <c:minorTickMark val="none"/>
        <c:tickLblPos val="nextTo"/>
        <c:crossAx val="622842560"/>
        <c:auto val="1"/>
        <c:lblAlgn val="ctr"/>
        <c:lblOffset val="100"/>
        <c:noMultiLvlLbl val="0"/>
      </c:catAx>
    </c:plotArea>
    <c:legend>
      <c:legendPos val="t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254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Dividend Pay Out Ratio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Dividend Pay Out Ratio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2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7F6B-403D-9F84-4DCC0B47B575}"/>
              </c:ext>
            </c:extLst>
          </c:dPt>
          <c:dPt>
            <c:idx val="3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7F6B-403D-9F84-4DCC0B47B575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'Dividend Pay Out Ratio'!$C$3:$G$3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'Dividend Pay Out Ratio'!$C$12:$G$12</c:f>
              <c:numCache>
                <c:formatCode>General</c:formatCode>
                <c:ptCount val="5"/>
                <c:pt idx="0">
                  <c:v>2.09</c:v>
                </c:pt>
                <c:pt idx="1">
                  <c:v>0.69</c:v>
                </c:pt>
                <c:pt idx="2">
                  <c:v>0.81</c:v>
                </c:pt>
                <c:pt idx="3">
                  <c:v>1.77</c:v>
                </c:pt>
                <c:pt idx="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7F6B-403D-9F84-4DCC0B47B5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53649848"/>
        <c:axId val="620744352"/>
      </c:lineChart>
      <c:catAx>
        <c:axId val="5536498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620744352"/>
        <c:crosses val="autoZero"/>
        <c:auto val="0"/>
        <c:lblAlgn val="ctr"/>
        <c:lblOffset val="100"/>
        <c:noMultiLvlLbl val="0"/>
      </c:catAx>
      <c:valAx>
        <c:axId val="620744352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Percentage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53649848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Dividend Retention Ratio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Dividend Retention Ratio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C9AE-4598-BC91-1FE665A218D4}"/>
              </c:ext>
            </c:extLst>
          </c:dPt>
          <c:dPt>
            <c:idx val="4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C9AE-4598-BC91-1FE665A218D4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'Dividend Retention Ratio'!$C$3:$G$3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'Dividend Retention Ratio'!$C$9:$G$9</c:f>
              <c:numCache>
                <c:formatCode>0.00%</c:formatCode>
                <c:ptCount val="5"/>
                <c:pt idx="0">
                  <c:v>-21.95</c:v>
                </c:pt>
                <c:pt idx="1">
                  <c:v>-18.260000000000002</c:v>
                </c:pt>
                <c:pt idx="2">
                  <c:v>-20.8</c:v>
                </c:pt>
                <c:pt idx="3">
                  <c:v>-36.08</c:v>
                </c:pt>
                <c:pt idx="4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C9AE-4598-BC91-1FE665A218D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9432560"/>
        <c:axId val="449433544"/>
      </c:lineChart>
      <c:catAx>
        <c:axId val="4494325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49433544"/>
        <c:crosses val="autoZero"/>
        <c:auto val="0"/>
        <c:lblAlgn val="ctr"/>
        <c:lblOffset val="100"/>
        <c:noMultiLvlLbl val="0"/>
      </c:catAx>
      <c:valAx>
        <c:axId val="449433544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Percentage</a:t>
                </a:r>
              </a:p>
            </c:rich>
          </c:tx>
          <c:overlay val="0"/>
        </c:title>
        <c:numFmt formatCode="0.00%" sourceLinked="1"/>
        <c:majorTickMark val="out"/>
        <c:minorTickMark val="none"/>
        <c:tickLblPos val="nextTo"/>
        <c:crossAx val="449432560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Gross Profit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Gross Profit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4191-4702-A761-41BFE0370B13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'Gross Profit'!$C$3:$G$3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'Gross Profit'!$C$8:$G$8</c:f>
              <c:numCache>
                <c:formatCode>.00</c:formatCode>
                <c:ptCount val="5"/>
                <c:pt idx="0">
                  <c:v>117816.18</c:v>
                </c:pt>
                <c:pt idx="1">
                  <c:v>130828.49</c:v>
                </c:pt>
                <c:pt idx="2">
                  <c:v>125426.35</c:v>
                </c:pt>
                <c:pt idx="3">
                  <c:v>116662.59</c:v>
                </c:pt>
                <c:pt idx="4">
                  <c:v>100271.32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4191-4702-A761-41BFE0370B1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9435840"/>
        <c:axId val="449424032"/>
      </c:lineChart>
      <c:catAx>
        <c:axId val="4494358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49424032"/>
        <c:crosses val="autoZero"/>
        <c:auto val="0"/>
        <c:lblAlgn val="ctr"/>
        <c:lblOffset val="100"/>
        <c:noMultiLvlLbl val="0"/>
      </c:catAx>
      <c:valAx>
        <c:axId val="449424032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Rupees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crossAx val="449435840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Net Profit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Net Profit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7887-4447-8CB8-1F6E1532973F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'Net Profit'!$C$3:$G$3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'Net Profit'!$C$8:$G$8</c:f>
              <c:numCache>
                <c:formatCode>.00</c:formatCode>
                <c:ptCount val="5"/>
                <c:pt idx="0">
                  <c:v>52918.67</c:v>
                </c:pt>
                <c:pt idx="1">
                  <c:v>67005.2</c:v>
                </c:pt>
                <c:pt idx="2">
                  <c:v>59984.66</c:v>
                </c:pt>
                <c:pt idx="3">
                  <c:v>54306.77</c:v>
                </c:pt>
                <c:pt idx="4">
                  <c:v>27102.560000000001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7887-4447-8CB8-1F6E153297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1968544"/>
        <c:axId val="451969200"/>
      </c:lineChart>
      <c:catAx>
        <c:axId val="4519685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51969200"/>
        <c:crosses val="autoZero"/>
        <c:auto val="0"/>
        <c:lblAlgn val="ctr"/>
        <c:lblOffset val="100"/>
        <c:noMultiLvlLbl val="0"/>
      </c:catAx>
      <c:valAx>
        <c:axId val="451969200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Rupees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crossAx val="451968544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Return On Assets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Return On Assets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4C90-4B22-8573-05A233E7EBF1}"/>
              </c:ext>
            </c:extLst>
          </c:dPt>
          <c:dPt>
            <c:idx val="4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4C90-4B22-8573-05A233E7EBF1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'Return On Assets'!$C$3:$G$3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'Return On Assets'!$C$8:$G$8</c:f>
              <c:numCache>
                <c:formatCode>0.00%</c:formatCode>
                <c:ptCount val="5"/>
                <c:pt idx="0">
                  <c:v>0.04</c:v>
                </c:pt>
                <c:pt idx="1">
                  <c:v>0.09</c:v>
                </c:pt>
                <c:pt idx="2">
                  <c:v>7.0000000000000007E-2</c:v>
                </c:pt>
                <c:pt idx="3">
                  <c:v>0.03</c:v>
                </c:pt>
                <c:pt idx="4">
                  <c:v>0.11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4C90-4B22-8573-05A233E7EB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9427968"/>
        <c:axId val="449421408"/>
      </c:lineChart>
      <c:catAx>
        <c:axId val="4494279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49421408"/>
        <c:crosses val="autoZero"/>
        <c:auto val="0"/>
        <c:lblAlgn val="ctr"/>
        <c:lblOffset val="100"/>
        <c:noMultiLvlLbl val="0"/>
      </c:catAx>
      <c:valAx>
        <c:axId val="449421408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Percentage</a:t>
                </a:r>
              </a:p>
            </c:rich>
          </c:tx>
          <c:overlay val="0"/>
        </c:title>
        <c:numFmt formatCode="0.00%" sourceLinked="1"/>
        <c:majorTickMark val="out"/>
        <c:minorTickMark val="none"/>
        <c:tickLblPos val="nextTo"/>
        <c:crossAx val="449427968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Return On Capital Employeed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Return On Capital Employeed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0194-48B1-ADBF-1EA31DCD1296}"/>
              </c:ext>
            </c:extLst>
          </c:dPt>
          <c:dPt>
            <c:idx val="4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0194-48B1-ADBF-1EA31DCD1296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'Return On Capital Employeed'!$C$3:$G$3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'Return On Capital Employeed'!$C$9:$G$9</c:f>
              <c:numCache>
                <c:formatCode>0.00%</c:formatCode>
                <c:ptCount val="5"/>
                <c:pt idx="0">
                  <c:v>2.96</c:v>
                </c:pt>
                <c:pt idx="1">
                  <c:v>4.93</c:v>
                </c:pt>
                <c:pt idx="2">
                  <c:v>1.26</c:v>
                </c:pt>
                <c:pt idx="3">
                  <c:v>0.78</c:v>
                </c:pt>
                <c:pt idx="4">
                  <c:v>3.22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0194-48B1-ADBF-1EA31DCD12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9430264"/>
        <c:axId val="449421736"/>
      </c:lineChart>
      <c:catAx>
        <c:axId val="4494302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49421736"/>
        <c:crosses val="autoZero"/>
        <c:auto val="0"/>
        <c:lblAlgn val="ctr"/>
        <c:lblOffset val="100"/>
        <c:noMultiLvlLbl val="0"/>
      </c:catAx>
      <c:valAx>
        <c:axId val="449421736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Percentage</a:t>
                </a:r>
              </a:p>
            </c:rich>
          </c:tx>
          <c:overlay val="0"/>
        </c:title>
        <c:numFmt formatCode="0.00%" sourceLinked="1"/>
        <c:majorTickMark val="out"/>
        <c:minorTickMark val="none"/>
        <c:tickLblPos val="nextTo"/>
        <c:crossAx val="449430264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5.xml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6.xml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7.xml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8.xml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9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0.xml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1.xml"/></Relationships>
</file>

<file path=xl/drawings/_rels/drawing2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2.xml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3.xml"/></Relationships>
</file>

<file path=xl/drawings/_rels/drawing2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4.xml"/></Relationships>
</file>

<file path=xl/drawings/_rels/drawing2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5.xml"/></Relationships>
</file>

<file path=xl/drawings/_rels/drawing2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6.xml"/></Relationships>
</file>

<file path=xl/drawings/_rels/drawing2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7.xml"/></Relationships>
</file>

<file path=xl/drawings/_rels/drawing2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8.xml"/></Relationships>
</file>

<file path=xl/drawings/_rels/drawing2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9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3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0.xml"/></Relationships>
</file>

<file path=xl/drawings/_rels/drawing3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1.xml"/></Relationships>
</file>

<file path=xl/drawings/_rels/drawing3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2.xml"/></Relationships>
</file>

<file path=xl/drawings/_rels/drawing3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3.xml"/></Relationships>
</file>

<file path=xl/drawings/_rels/drawing3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4.xml"/></Relationships>
</file>

<file path=xl/drawings/_rels/drawing3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5.xml"/></Relationships>
</file>

<file path=xl/drawings/_rels/drawing3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6.xml"/></Relationships>
</file>

<file path=xl/drawings/_rels/drawing3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7.xml"/></Relationships>
</file>

<file path=xl/drawings/_rels/drawing3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8.xml"/></Relationships>
</file>

<file path=xl/drawings/_rels/drawing3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9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1E62966-2D63-82A9-6A06-214F6581655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0AA6236-0570-D8E9-8F3A-CC2E0AC58BD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1D50956-538A-907F-DD31-618A9498E7C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D1DB05D-68D0-43ED-79F9-B372B7CFCD2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10</xdr:row>
      <xdr:rowOff>0</xdr:rowOff>
    </xdr:from>
    <xdr:to>
      <xdr:col>8</xdr:col>
      <xdr:colOff>0</xdr:colOff>
      <xdr:row>27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62D6AD4-9174-3632-9C86-EB5FF7CEC53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44BC344-5C3A-C721-9A73-62C199F58A8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B6BC33B-7414-24AE-9551-BE0071F86E1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B1C2B3D-CC6F-3387-2A62-C37CB3525BC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18CA80A-4CB5-2BD1-9C35-E4624A4BBA8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3A4587F-4A81-652F-B38C-3A06F83556D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947BA2C-6A87-0AE5-7FA2-29574A02533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B12F955-6FD4-2919-5776-D2962E43092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8F4EF7F-9993-598F-A668-C7BA8810543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C2DE733-175C-F5CA-021F-57BD08A015F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B926A05-245B-958A-08A6-3F2FE8D4F9F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3758D5D-A99C-E7DE-08EF-33C0B1D216D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37D71E3-99DF-FA0D-A4B0-B020C102CD1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8986001-8AF6-6579-8522-CDA35CD29DC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13</xdr:row>
      <xdr:rowOff>0</xdr:rowOff>
    </xdr:from>
    <xdr:to>
      <xdr:col>8</xdr:col>
      <xdr:colOff>0</xdr:colOff>
      <xdr:row>30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FAB7785-F8F2-BE99-574E-2659CD147B1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17</xdr:row>
      <xdr:rowOff>0</xdr:rowOff>
    </xdr:from>
    <xdr:to>
      <xdr:col>8</xdr:col>
      <xdr:colOff>0</xdr:colOff>
      <xdr:row>34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55B3868-BF77-C134-BC89-2CDCAD75336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9</xdr:col>
      <xdr:colOff>0</xdr:colOff>
      <xdr:row>28</xdr:row>
      <xdr:rowOff>0</xdr:rowOff>
    </xdr:to>
    <xdr:graphicFrame macro="">
      <xdr:nvGraphicFramePr>
        <xdr:cNvPr id="2" name="NetWorth_TotalLiabilities">
          <a:extLst>
            <a:ext uri="{FF2B5EF4-FFF2-40B4-BE49-F238E27FC236}">
              <a16:creationId xmlns:a16="http://schemas.microsoft.com/office/drawing/2014/main" id="{E0A2FCC0-88E1-CC7B-911C-F0CE363FCA1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9</xdr:col>
      <xdr:colOff>0</xdr:colOff>
      <xdr:row>28</xdr:row>
      <xdr:rowOff>0</xdr:rowOff>
    </xdr:to>
    <xdr:graphicFrame macro="">
      <xdr:nvGraphicFramePr>
        <xdr:cNvPr id="2" name="PBDIT_PBIT">
          <a:extLst>
            <a:ext uri="{FF2B5EF4-FFF2-40B4-BE49-F238E27FC236}">
              <a16:creationId xmlns:a16="http://schemas.microsoft.com/office/drawing/2014/main" id="{742F2C86-14A1-F6DC-FFCC-A106CEE7178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8570130-472B-7327-3857-83B78962BD7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9</xdr:col>
      <xdr:colOff>0</xdr:colOff>
      <xdr:row>28</xdr:row>
      <xdr:rowOff>0</xdr:rowOff>
    </xdr:to>
    <xdr:graphicFrame macro="">
      <xdr:nvGraphicFramePr>
        <xdr:cNvPr id="2" name="CAvsCL">
          <a:extLst>
            <a:ext uri="{FF2B5EF4-FFF2-40B4-BE49-F238E27FC236}">
              <a16:creationId xmlns:a16="http://schemas.microsoft.com/office/drawing/2014/main" id="{F89E5732-DC0B-0900-7BD5-B3B1082CCF7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9</xdr:col>
      <xdr:colOff>0</xdr:colOff>
      <xdr:row>28</xdr:row>
      <xdr:rowOff>0</xdr:rowOff>
    </xdr:to>
    <xdr:graphicFrame macro="">
      <xdr:nvGraphicFramePr>
        <xdr:cNvPr id="2" name="Long And Short Term Provisions">
          <a:extLst>
            <a:ext uri="{FF2B5EF4-FFF2-40B4-BE49-F238E27FC236}">
              <a16:creationId xmlns:a16="http://schemas.microsoft.com/office/drawing/2014/main" id="{A990ABA4-DA3B-3F41-7E6C-D74B1C36D89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9</xdr:col>
      <xdr:colOff>0</xdr:colOff>
      <xdr:row>28</xdr:row>
      <xdr:rowOff>0</xdr:rowOff>
    </xdr:to>
    <xdr:graphicFrame macro="">
      <xdr:nvGraphicFramePr>
        <xdr:cNvPr id="2" name="MaterialConsumed">
          <a:extLst>
            <a:ext uri="{FF2B5EF4-FFF2-40B4-BE49-F238E27FC236}">
              <a16:creationId xmlns:a16="http://schemas.microsoft.com/office/drawing/2014/main" id="{BE0BF66C-DF79-4DDA-CB53-7F15CA315CB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9</xdr:col>
      <xdr:colOff>0</xdr:colOff>
      <xdr:row>28</xdr:row>
      <xdr:rowOff>0</xdr:rowOff>
    </xdr:to>
    <xdr:graphicFrame macro="">
      <xdr:nvGraphicFramePr>
        <xdr:cNvPr id="2" name="GrossSales_Income">
          <a:extLst>
            <a:ext uri="{FF2B5EF4-FFF2-40B4-BE49-F238E27FC236}">
              <a16:creationId xmlns:a16="http://schemas.microsoft.com/office/drawing/2014/main" id="{6F7260C5-AB6E-86A9-FA1F-31B899590E8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9</xdr:col>
      <xdr:colOff>0</xdr:colOff>
      <xdr:row>28</xdr:row>
      <xdr:rowOff>0</xdr:rowOff>
    </xdr:to>
    <xdr:graphicFrame macro="">
      <xdr:nvGraphicFramePr>
        <xdr:cNvPr id="2" name="DebtVsLiablilites">
          <a:extLst>
            <a:ext uri="{FF2B5EF4-FFF2-40B4-BE49-F238E27FC236}">
              <a16:creationId xmlns:a16="http://schemas.microsoft.com/office/drawing/2014/main" id="{9290D16F-EF70-C3B4-97BC-84EC8098607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9</xdr:col>
      <xdr:colOff>0</xdr:colOff>
      <xdr:row>28</xdr:row>
      <xdr:rowOff>0</xdr:rowOff>
    </xdr:to>
    <xdr:graphicFrame macro="">
      <xdr:nvGraphicFramePr>
        <xdr:cNvPr id="2" name="CLVsLiablilites">
          <a:extLst>
            <a:ext uri="{FF2B5EF4-FFF2-40B4-BE49-F238E27FC236}">
              <a16:creationId xmlns:a16="http://schemas.microsoft.com/office/drawing/2014/main" id="{C1C41335-ABBC-C8F1-E28C-BD542389A9C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9</xdr:col>
      <xdr:colOff>0</xdr:colOff>
      <xdr:row>28</xdr:row>
      <xdr:rowOff>0</xdr:rowOff>
    </xdr:to>
    <xdr:graphicFrame macro="">
      <xdr:nvGraphicFramePr>
        <xdr:cNvPr id="2" name="FA_Vs_Assets">
          <a:extLst>
            <a:ext uri="{FF2B5EF4-FFF2-40B4-BE49-F238E27FC236}">
              <a16:creationId xmlns:a16="http://schemas.microsoft.com/office/drawing/2014/main" id="{12C222AF-BA51-227E-3DE2-3CBB574955B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9</xdr:col>
      <xdr:colOff>0</xdr:colOff>
      <xdr:row>28</xdr:row>
      <xdr:rowOff>0</xdr:rowOff>
    </xdr:to>
    <xdr:graphicFrame macro="">
      <xdr:nvGraphicFramePr>
        <xdr:cNvPr id="2" name="CAVsAssets">
          <a:extLst>
            <a:ext uri="{FF2B5EF4-FFF2-40B4-BE49-F238E27FC236}">
              <a16:creationId xmlns:a16="http://schemas.microsoft.com/office/drawing/2014/main" id="{703FAD99-F783-0FD4-EBBD-50B8A09C437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9</xdr:col>
      <xdr:colOff>0</xdr:colOff>
      <xdr:row>28</xdr:row>
      <xdr:rowOff>0</xdr:rowOff>
    </xdr:to>
    <xdr:graphicFrame macro="">
      <xdr:nvGraphicFramePr>
        <xdr:cNvPr id="2" name="CAVsAssets">
          <a:extLst>
            <a:ext uri="{FF2B5EF4-FFF2-40B4-BE49-F238E27FC236}">
              <a16:creationId xmlns:a16="http://schemas.microsoft.com/office/drawing/2014/main" id="{0B9D9103-7A53-9A4D-FD2E-D17EF058CC4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9</xdr:col>
      <xdr:colOff>0</xdr:colOff>
      <xdr:row>28</xdr:row>
      <xdr:rowOff>0</xdr:rowOff>
    </xdr:to>
    <xdr:graphicFrame macro="">
      <xdr:nvGraphicFramePr>
        <xdr:cNvPr id="2" name="AmountCFToBS">
          <a:extLst>
            <a:ext uri="{FF2B5EF4-FFF2-40B4-BE49-F238E27FC236}">
              <a16:creationId xmlns:a16="http://schemas.microsoft.com/office/drawing/2014/main" id="{1B6A91C6-DDB1-0111-1852-1A64EE700FD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13</xdr:row>
      <xdr:rowOff>0</xdr:rowOff>
    </xdr:from>
    <xdr:to>
      <xdr:col>8</xdr:col>
      <xdr:colOff>0</xdr:colOff>
      <xdr:row>30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1E9A1D5-EC78-DDC2-5E19-809251028A4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10</xdr:row>
      <xdr:rowOff>0</xdr:rowOff>
    </xdr:from>
    <xdr:to>
      <xdr:col>8</xdr:col>
      <xdr:colOff>0</xdr:colOff>
      <xdr:row>27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7FDE2B2-17DE-F174-338E-95EE6F782BC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82FF7F5-5691-483F-408A-E72F8AE2CC0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3D7D25F-EE2E-755B-3C96-DB3D3C5E4A5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2A41AD9-743C-1AF4-0EAB-76320DFE146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10</xdr:row>
      <xdr:rowOff>0</xdr:rowOff>
    </xdr:from>
    <xdr:to>
      <xdr:col>8</xdr:col>
      <xdr:colOff>0</xdr:colOff>
      <xdr:row>27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3D04FAF-C145-0FB6-3E4D-7BA0675F2D4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7.xml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8.xml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9.xml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0.xml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1.xml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2.xml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3.xml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4.xml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5.xml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6.xml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7.xml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8.xml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9.xml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0.xml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1.xml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2.xml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3.xml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4.xml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5.xml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6.xml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7.xml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8.xml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9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EB21CA-CCE7-4D49-B377-F121A1D02217}">
  <dimension ref="A2:H55"/>
  <sheetViews>
    <sheetView topLeftCell="A45" workbookViewId="0">
      <selection activeCell="A55" sqref="A55"/>
    </sheetView>
  </sheetViews>
  <sheetFormatPr defaultRowHeight="15" x14ac:dyDescent="0.25"/>
  <sheetData>
    <row r="2" spans="1:8" x14ac:dyDescent="0.25">
      <c r="B2" s="3" t="s">
        <v>0</v>
      </c>
      <c r="C2" s="1">
        <v>44638</v>
      </c>
      <c r="D2" s="1">
        <v>44639</v>
      </c>
      <c r="E2" s="1">
        <v>44640</v>
      </c>
      <c r="F2" s="1">
        <v>44641</v>
      </c>
      <c r="G2" s="1">
        <v>44642</v>
      </c>
      <c r="H2" t="s">
        <v>1</v>
      </c>
    </row>
    <row r="3" spans="1:8" x14ac:dyDescent="0.25">
      <c r="B3" t="s">
        <v>1</v>
      </c>
      <c r="C3" t="s">
        <v>2</v>
      </c>
      <c r="D3" t="s">
        <v>2</v>
      </c>
      <c r="E3" t="s">
        <v>2</v>
      </c>
      <c r="F3" t="s">
        <v>2</v>
      </c>
      <c r="G3" t="s">
        <v>2</v>
      </c>
      <c r="H3" t="s">
        <v>1</v>
      </c>
    </row>
    <row r="4" spans="1:8" x14ac:dyDescent="0.25">
      <c r="B4" t="s">
        <v>3</v>
      </c>
      <c r="H4" t="s">
        <v>1</v>
      </c>
    </row>
    <row r="5" spans="1:8" x14ac:dyDescent="0.25">
      <c r="B5" t="s">
        <v>4</v>
      </c>
      <c r="H5" t="s">
        <v>1</v>
      </c>
    </row>
    <row r="6" spans="1:8" x14ac:dyDescent="0.25">
      <c r="A6" t="s">
        <v>5</v>
      </c>
      <c r="B6" t="s">
        <v>5</v>
      </c>
      <c r="C6" s="2">
        <v>6207.41</v>
      </c>
      <c r="D6" s="2">
        <v>6162.73</v>
      </c>
      <c r="E6" s="2">
        <v>6162.73</v>
      </c>
      <c r="F6" s="2">
        <v>6162.73</v>
      </c>
      <c r="G6" s="2">
        <v>6162.73</v>
      </c>
      <c r="H6" t="s">
        <v>1</v>
      </c>
    </row>
    <row r="7" spans="1:8" x14ac:dyDescent="0.25">
      <c r="B7" t="s">
        <v>6</v>
      </c>
      <c r="C7" s="2">
        <v>6207.41</v>
      </c>
      <c r="D7" s="2">
        <v>6162.73</v>
      </c>
      <c r="E7" s="2">
        <v>6162.73</v>
      </c>
      <c r="F7" s="2">
        <v>6162.73</v>
      </c>
      <c r="G7" s="2">
        <v>6162.73</v>
      </c>
      <c r="H7" t="s">
        <v>1</v>
      </c>
    </row>
    <row r="8" spans="1:8" x14ac:dyDescent="0.25">
      <c r="A8" t="s">
        <v>90</v>
      </c>
      <c r="B8" t="s">
        <v>7</v>
      </c>
      <c r="C8" s="2">
        <v>13639.16</v>
      </c>
      <c r="D8" s="2">
        <v>20291.189999999999</v>
      </c>
      <c r="E8" s="2">
        <v>25994.19</v>
      </c>
      <c r="F8" s="2">
        <v>30354.63</v>
      </c>
      <c r="G8" s="2">
        <v>36980.31</v>
      </c>
      <c r="H8" t="s">
        <v>1</v>
      </c>
    </row>
    <row r="9" spans="1:8" x14ac:dyDescent="0.25">
      <c r="B9" t="s">
        <v>8</v>
      </c>
      <c r="C9" s="2">
        <v>13639.16</v>
      </c>
      <c r="D9" s="2">
        <v>20291.189999999999</v>
      </c>
      <c r="E9" s="2">
        <v>25994.19</v>
      </c>
      <c r="F9" s="2">
        <v>30354.63</v>
      </c>
      <c r="G9" s="2">
        <v>36980.31</v>
      </c>
      <c r="H9" t="s">
        <v>1</v>
      </c>
    </row>
    <row r="10" spans="1:8" x14ac:dyDescent="0.25">
      <c r="B10" t="s">
        <v>9</v>
      </c>
      <c r="C10" s="2">
        <v>19846.57</v>
      </c>
      <c r="D10" s="2">
        <v>26453.919999999998</v>
      </c>
      <c r="E10" s="2">
        <v>32156.92</v>
      </c>
      <c r="F10" s="2">
        <v>36517.360000000001</v>
      </c>
      <c r="G10" s="2">
        <v>43143.040000000001</v>
      </c>
      <c r="H10" t="s">
        <v>1</v>
      </c>
    </row>
    <row r="11" spans="1:8" x14ac:dyDescent="0.25">
      <c r="A11" t="s">
        <v>10</v>
      </c>
      <c r="B11" t="s">
        <v>10</v>
      </c>
      <c r="C11">
        <v>362.45</v>
      </c>
      <c r="D11">
        <v>406.78</v>
      </c>
      <c r="E11">
        <v>394.08</v>
      </c>
      <c r="F11">
        <v>441.08</v>
      </c>
      <c r="G11">
        <v>673.79</v>
      </c>
      <c r="H11" t="s">
        <v>1</v>
      </c>
    </row>
    <row r="12" spans="1:8" x14ac:dyDescent="0.25">
      <c r="B12" t="s">
        <v>11</v>
      </c>
      <c r="H12" t="s">
        <v>1</v>
      </c>
    </row>
    <row r="13" spans="1:8" x14ac:dyDescent="0.25">
      <c r="A13" t="s">
        <v>91</v>
      </c>
      <c r="B13" t="s">
        <v>12</v>
      </c>
      <c r="C13" s="2">
        <v>1054.4000000000001</v>
      </c>
      <c r="D13" s="2">
        <v>1472.27</v>
      </c>
      <c r="E13" s="2">
        <v>1993.38</v>
      </c>
      <c r="F13" s="2">
        <v>2688.1</v>
      </c>
      <c r="G13" s="2">
        <v>3301.78</v>
      </c>
      <c r="H13" t="s">
        <v>1</v>
      </c>
    </row>
    <row r="14" spans="1:8" x14ac:dyDescent="0.25">
      <c r="A14" t="s">
        <v>91</v>
      </c>
      <c r="B14" t="s">
        <v>13</v>
      </c>
      <c r="C14">
        <v>0</v>
      </c>
      <c r="D14">
        <v>0</v>
      </c>
      <c r="E14">
        <v>307.04000000000002</v>
      </c>
      <c r="F14">
        <v>722.07</v>
      </c>
      <c r="G14">
        <v>811.02</v>
      </c>
      <c r="H14" t="s">
        <v>1</v>
      </c>
    </row>
    <row r="15" spans="1:8" x14ac:dyDescent="0.25">
      <c r="A15" t="s">
        <v>92</v>
      </c>
      <c r="B15" t="s">
        <v>14</v>
      </c>
      <c r="C15" s="2">
        <v>5530.13</v>
      </c>
      <c r="D15" s="2">
        <v>6154.12</v>
      </c>
      <c r="E15" s="2">
        <v>6184.32</v>
      </c>
      <c r="F15" s="2">
        <v>6589.6</v>
      </c>
      <c r="G15" s="2">
        <v>8967.0300000000007</v>
      </c>
      <c r="H15" t="s">
        <v>1</v>
      </c>
    </row>
    <row r="16" spans="1:8" x14ac:dyDescent="0.25">
      <c r="A16" t="s">
        <v>93</v>
      </c>
      <c r="B16" t="s">
        <v>15</v>
      </c>
      <c r="C16" s="2">
        <v>49903.1</v>
      </c>
      <c r="D16" s="2">
        <v>52419.56</v>
      </c>
      <c r="E16" s="2">
        <v>60223.45</v>
      </c>
      <c r="F16" s="2">
        <v>63178.61</v>
      </c>
      <c r="G16" s="2">
        <v>65944</v>
      </c>
      <c r="H16" t="s">
        <v>1</v>
      </c>
    </row>
    <row r="17" spans="1:8" x14ac:dyDescent="0.25">
      <c r="B17" t="s">
        <v>16</v>
      </c>
      <c r="C17" s="2">
        <v>56487.63</v>
      </c>
      <c r="D17" s="2">
        <v>60045.95</v>
      </c>
      <c r="E17" s="2">
        <v>68708.19</v>
      </c>
      <c r="F17" s="2">
        <v>73178.38</v>
      </c>
      <c r="G17" s="2">
        <v>79023.83</v>
      </c>
      <c r="H17" t="s">
        <v>1</v>
      </c>
    </row>
    <row r="18" spans="1:8" x14ac:dyDescent="0.25">
      <c r="B18" t="s">
        <v>17</v>
      </c>
      <c r="H18" t="s">
        <v>1</v>
      </c>
    </row>
    <row r="19" spans="1:8" x14ac:dyDescent="0.25">
      <c r="A19" t="s">
        <v>91</v>
      </c>
      <c r="B19" t="s">
        <v>18</v>
      </c>
      <c r="C19">
        <v>476.54</v>
      </c>
      <c r="D19" s="2">
        <v>730.47</v>
      </c>
      <c r="E19" s="2">
        <v>4432.6099999999997</v>
      </c>
      <c r="F19">
        <v>3187.2</v>
      </c>
      <c r="G19">
        <v>7.98</v>
      </c>
      <c r="H19" t="s">
        <v>1</v>
      </c>
    </row>
    <row r="20" spans="1:8" x14ac:dyDescent="0.25">
      <c r="A20" t="s">
        <v>92</v>
      </c>
      <c r="B20" t="s">
        <v>19</v>
      </c>
      <c r="C20" s="2">
        <v>4516.93</v>
      </c>
      <c r="D20" s="2">
        <v>6815.51</v>
      </c>
      <c r="E20" s="2">
        <v>7250.96</v>
      </c>
      <c r="F20" s="2">
        <v>7637.63</v>
      </c>
      <c r="G20" s="2">
        <v>8591.7800000000007</v>
      </c>
      <c r="H20" t="s">
        <v>1</v>
      </c>
    </row>
    <row r="21" spans="1:8" x14ac:dyDescent="0.25">
      <c r="A21" t="s">
        <v>92</v>
      </c>
      <c r="B21" t="s">
        <v>20</v>
      </c>
      <c r="C21" s="2">
        <v>30988.02</v>
      </c>
      <c r="D21" s="2">
        <v>31129.759999999998</v>
      </c>
      <c r="E21" s="2">
        <v>30603.279999999999</v>
      </c>
      <c r="F21" s="2">
        <v>34352.14</v>
      </c>
      <c r="G21" s="2">
        <v>42708.23</v>
      </c>
      <c r="H21" t="s">
        <v>1</v>
      </c>
    </row>
    <row r="22" spans="1:8" x14ac:dyDescent="0.25">
      <c r="A22" t="s">
        <v>93</v>
      </c>
      <c r="B22" t="s">
        <v>21</v>
      </c>
      <c r="C22" s="2">
        <v>14813.59</v>
      </c>
      <c r="D22" s="2">
        <v>7136.44</v>
      </c>
      <c r="E22" s="2">
        <v>6781.44</v>
      </c>
      <c r="F22" s="2">
        <v>6465.9</v>
      </c>
      <c r="G22" s="2">
        <v>6094.68</v>
      </c>
      <c r="H22" t="s">
        <v>1</v>
      </c>
    </row>
    <row r="23" spans="1:8" x14ac:dyDescent="0.25">
      <c r="B23" t="s">
        <v>22</v>
      </c>
      <c r="C23" s="2">
        <v>50795.08</v>
      </c>
      <c r="D23" s="2">
        <v>45812.18</v>
      </c>
      <c r="E23" s="2">
        <v>49068.29</v>
      </c>
      <c r="F23" s="2">
        <v>51642.87</v>
      </c>
      <c r="G23" s="2">
        <v>57402.67</v>
      </c>
      <c r="H23" t="s">
        <v>1</v>
      </c>
    </row>
    <row r="24" spans="1:8" x14ac:dyDescent="0.25">
      <c r="B24" t="s">
        <v>23</v>
      </c>
      <c r="C24" s="2">
        <v>127491.73</v>
      </c>
      <c r="D24" s="2">
        <v>132718.82999999999</v>
      </c>
      <c r="E24" s="2">
        <v>150327.48000000001</v>
      </c>
      <c r="F24" s="2">
        <v>161779.69</v>
      </c>
      <c r="G24" s="2">
        <v>180243.33</v>
      </c>
      <c r="H24" t="s">
        <v>1</v>
      </c>
    </row>
    <row r="25" spans="1:8" x14ac:dyDescent="0.25">
      <c r="B25" t="s">
        <v>24</v>
      </c>
      <c r="H25" t="s">
        <v>1</v>
      </c>
    </row>
    <row r="26" spans="1:8" x14ac:dyDescent="0.25">
      <c r="B26" t="s">
        <v>25</v>
      </c>
      <c r="H26" t="s">
        <v>1</v>
      </c>
    </row>
    <row r="27" spans="1:8" x14ac:dyDescent="0.25">
      <c r="A27" t="s">
        <v>29</v>
      </c>
      <c r="B27" t="s">
        <v>26</v>
      </c>
      <c r="C27" s="2">
        <v>24063.3</v>
      </c>
      <c r="D27" s="2">
        <v>28539.06</v>
      </c>
      <c r="E27" s="2">
        <v>32302.35</v>
      </c>
      <c r="F27" s="2">
        <v>37753.65</v>
      </c>
      <c r="G27" s="2">
        <v>59574.1</v>
      </c>
      <c r="H27" t="s">
        <v>1</v>
      </c>
    </row>
    <row r="28" spans="1:8" x14ac:dyDescent="0.25">
      <c r="A28" t="s">
        <v>29</v>
      </c>
      <c r="B28" t="s">
        <v>27</v>
      </c>
      <c r="C28">
        <v>29.53</v>
      </c>
      <c r="D28">
        <v>35.18</v>
      </c>
      <c r="E28">
        <v>38.14</v>
      </c>
      <c r="F28">
        <v>45.76</v>
      </c>
      <c r="G28">
        <v>0</v>
      </c>
      <c r="H28" t="s">
        <v>1</v>
      </c>
    </row>
    <row r="29" spans="1:8" x14ac:dyDescent="0.25">
      <c r="A29" t="s">
        <v>28</v>
      </c>
      <c r="B29" t="s">
        <v>28</v>
      </c>
      <c r="C29">
        <v>10286.42</v>
      </c>
      <c r="D29" s="2">
        <v>9622.94</v>
      </c>
      <c r="E29" s="2">
        <v>8271.09</v>
      </c>
      <c r="F29" s="2">
        <v>10403.66</v>
      </c>
      <c r="G29" s="2">
        <v>0</v>
      </c>
      <c r="H29" t="s">
        <v>1</v>
      </c>
    </row>
    <row r="30" spans="1:8" x14ac:dyDescent="0.25">
      <c r="B30" t="s">
        <v>29</v>
      </c>
      <c r="C30" s="2">
        <v>37863.83</v>
      </c>
      <c r="D30" s="2">
        <v>42272.59</v>
      </c>
      <c r="E30" s="2">
        <v>45111.86</v>
      </c>
      <c r="F30" s="2">
        <v>52895.05</v>
      </c>
      <c r="G30" s="2">
        <v>59574.1</v>
      </c>
      <c r="H30" t="s">
        <v>1</v>
      </c>
    </row>
    <row r="31" spans="1:8" x14ac:dyDescent="0.25">
      <c r="A31" t="s">
        <v>94</v>
      </c>
      <c r="B31" t="s">
        <v>30</v>
      </c>
      <c r="C31" s="2">
        <v>1303.06</v>
      </c>
      <c r="D31" s="2">
        <v>1421.01</v>
      </c>
      <c r="E31" s="2">
        <v>1873.17</v>
      </c>
      <c r="F31" s="2">
        <v>2317.64</v>
      </c>
      <c r="G31" s="2">
        <v>2426.9699999999998</v>
      </c>
      <c r="H31" t="s">
        <v>1</v>
      </c>
    </row>
    <row r="32" spans="1:8" x14ac:dyDescent="0.25">
      <c r="A32" t="s">
        <v>95</v>
      </c>
      <c r="B32" t="s">
        <v>31</v>
      </c>
      <c r="C32" s="2">
        <v>5355.05</v>
      </c>
      <c r="D32" s="2">
        <v>4269.16</v>
      </c>
      <c r="E32" s="2">
        <v>3618.01</v>
      </c>
      <c r="F32" s="2">
        <v>4059.43</v>
      </c>
      <c r="G32" s="2">
        <v>4138.09</v>
      </c>
      <c r="H32" t="s">
        <v>1</v>
      </c>
    </row>
    <row r="33" spans="1:8" x14ac:dyDescent="0.25">
      <c r="A33" t="s">
        <v>95</v>
      </c>
      <c r="B33" t="s">
        <v>32</v>
      </c>
      <c r="C33">
        <v>1020.08</v>
      </c>
      <c r="D33">
        <v>1141.73</v>
      </c>
      <c r="E33">
        <v>638.59</v>
      </c>
      <c r="F33" s="2">
        <v>136.27000000000001</v>
      </c>
      <c r="G33" s="2">
        <v>353.39</v>
      </c>
      <c r="H33" t="s">
        <v>1</v>
      </c>
    </row>
    <row r="34" spans="1:8" x14ac:dyDescent="0.25">
      <c r="A34" t="s">
        <v>95</v>
      </c>
      <c r="B34" t="s">
        <v>33</v>
      </c>
      <c r="C34" s="2">
        <v>13135.43</v>
      </c>
      <c r="D34" s="2">
        <v>14294.68</v>
      </c>
      <c r="E34" s="2">
        <v>15398.3</v>
      </c>
      <c r="F34" s="2">
        <v>17646.439999999999</v>
      </c>
      <c r="G34" s="2">
        <v>20907.830000000002</v>
      </c>
      <c r="H34" t="s">
        <v>1</v>
      </c>
    </row>
    <row r="35" spans="1:8" x14ac:dyDescent="0.25">
      <c r="B35" t="s">
        <v>34</v>
      </c>
      <c r="C35" s="2">
        <v>58677.45</v>
      </c>
      <c r="D35" s="2">
        <v>63399.17</v>
      </c>
      <c r="E35" s="2">
        <v>66639.929999999993</v>
      </c>
      <c r="F35" s="2">
        <v>77054.83</v>
      </c>
      <c r="G35" s="2">
        <v>87400.38</v>
      </c>
      <c r="H35" t="s">
        <v>1</v>
      </c>
    </row>
    <row r="36" spans="1:8" x14ac:dyDescent="0.25">
      <c r="B36" t="s">
        <v>35</v>
      </c>
      <c r="H36" t="s">
        <v>1</v>
      </c>
    </row>
    <row r="37" spans="1:8" x14ac:dyDescent="0.25">
      <c r="A37" t="s">
        <v>94</v>
      </c>
      <c r="B37" t="s">
        <v>36</v>
      </c>
      <c r="C37" s="2">
        <v>205.57</v>
      </c>
      <c r="D37" s="2">
        <v>1749.96</v>
      </c>
      <c r="E37">
        <v>99.7</v>
      </c>
      <c r="F37" s="2">
        <v>3632.59</v>
      </c>
      <c r="G37">
        <v>7279.41</v>
      </c>
      <c r="H37" t="s">
        <v>1</v>
      </c>
    </row>
    <row r="38" spans="1:8" x14ac:dyDescent="0.25">
      <c r="A38" t="s">
        <v>96</v>
      </c>
      <c r="B38" t="s">
        <v>37</v>
      </c>
      <c r="C38" s="2">
        <v>6443.85</v>
      </c>
      <c r="D38" s="2">
        <v>5583.93</v>
      </c>
      <c r="E38" s="2">
        <v>6617.98</v>
      </c>
      <c r="F38" s="2">
        <v>8947.4699999999993</v>
      </c>
      <c r="G38" s="2">
        <v>7075.68</v>
      </c>
      <c r="H38" t="s">
        <v>1</v>
      </c>
    </row>
    <row r="39" spans="1:8" x14ac:dyDescent="0.25">
      <c r="A39" t="s">
        <v>96</v>
      </c>
      <c r="B39" t="s">
        <v>38</v>
      </c>
      <c r="C39" s="2">
        <v>8689.16</v>
      </c>
      <c r="D39" s="2">
        <v>5498.55</v>
      </c>
      <c r="E39" s="2">
        <v>14408.22</v>
      </c>
      <c r="F39" s="2">
        <v>19623.12</v>
      </c>
      <c r="G39" s="2">
        <v>11367.68</v>
      </c>
      <c r="H39" t="s">
        <v>1</v>
      </c>
    </row>
    <row r="40" spans="1:8" x14ac:dyDescent="0.25">
      <c r="A40" t="s">
        <v>96</v>
      </c>
      <c r="B40" t="s">
        <v>39</v>
      </c>
      <c r="C40" s="2">
        <v>31475.07</v>
      </c>
      <c r="D40" s="2">
        <v>31124.23</v>
      </c>
      <c r="E40" s="2">
        <v>28448.959999999999</v>
      </c>
      <c r="F40" s="2">
        <v>17310.3</v>
      </c>
      <c r="G40" s="2">
        <v>29179.45</v>
      </c>
      <c r="H40" t="s">
        <v>1</v>
      </c>
    </row>
    <row r="41" spans="1:8" x14ac:dyDescent="0.25">
      <c r="A41" t="s">
        <v>95</v>
      </c>
      <c r="B41" t="s">
        <v>40</v>
      </c>
      <c r="C41">
        <v>3.69</v>
      </c>
      <c r="D41">
        <v>502.33</v>
      </c>
      <c r="E41">
        <v>502.65</v>
      </c>
      <c r="F41">
        <v>501.28</v>
      </c>
      <c r="G41">
        <v>0.21</v>
      </c>
      <c r="H41" t="s">
        <v>1</v>
      </c>
    </row>
    <row r="42" spans="1:8" x14ac:dyDescent="0.25">
      <c r="A42" t="s">
        <v>95</v>
      </c>
      <c r="B42" t="s">
        <v>41</v>
      </c>
      <c r="C42" s="2">
        <v>21996.94</v>
      </c>
      <c r="D42" s="2">
        <v>24860.66</v>
      </c>
      <c r="E42" s="2">
        <v>33610.04</v>
      </c>
      <c r="F42" s="2">
        <v>34710.1</v>
      </c>
      <c r="G42" s="2">
        <v>37940.519999999997</v>
      </c>
      <c r="H42" t="s">
        <v>1</v>
      </c>
    </row>
    <row r="43" spans="1:8" x14ac:dyDescent="0.25">
      <c r="B43" t="s">
        <v>42</v>
      </c>
      <c r="C43" s="2">
        <v>68814.28</v>
      </c>
      <c r="D43" s="2">
        <v>69319.66</v>
      </c>
      <c r="E43" s="2">
        <v>83687.55</v>
      </c>
      <c r="F43" s="2">
        <v>84724.86</v>
      </c>
      <c r="G43" s="2">
        <v>92842.95</v>
      </c>
      <c r="H43" t="s">
        <v>1</v>
      </c>
    </row>
    <row r="44" spans="1:8" x14ac:dyDescent="0.25">
      <c r="B44" t="s">
        <v>43</v>
      </c>
      <c r="C44" s="2">
        <v>127491.73</v>
      </c>
      <c r="D44" s="2">
        <v>132718.82999999999</v>
      </c>
      <c r="E44" s="2">
        <v>150327.48000000001</v>
      </c>
      <c r="F44" s="2">
        <v>161779.69</v>
      </c>
      <c r="G44" s="2">
        <v>180243.33</v>
      </c>
      <c r="H44" t="s">
        <v>1</v>
      </c>
    </row>
    <row r="45" spans="1:8" x14ac:dyDescent="0.25">
      <c r="B45" t="s">
        <v>44</v>
      </c>
      <c r="H45" t="s">
        <v>1</v>
      </c>
    </row>
    <row r="46" spans="1:8" x14ac:dyDescent="0.25">
      <c r="B46" t="s">
        <v>45</v>
      </c>
      <c r="H46" t="s">
        <v>1</v>
      </c>
    </row>
    <row r="47" spans="1:8" x14ac:dyDescent="0.25">
      <c r="B47" t="s">
        <v>46</v>
      </c>
      <c r="C47">
        <v>49387.85</v>
      </c>
      <c r="D47" s="2">
        <v>130134.02</v>
      </c>
      <c r="E47" s="2">
        <v>157060.18</v>
      </c>
      <c r="F47" s="2">
        <v>161610.56</v>
      </c>
      <c r="G47" s="2">
        <v>0</v>
      </c>
      <c r="H47" t="s">
        <v>1</v>
      </c>
    </row>
    <row r="48" spans="1:8" x14ac:dyDescent="0.25">
      <c r="B48" t="s">
        <v>47</v>
      </c>
      <c r="H48" t="s">
        <v>1</v>
      </c>
    </row>
    <row r="49" spans="2:8" x14ac:dyDescent="0.25">
      <c r="B49" t="s">
        <v>48</v>
      </c>
      <c r="C49">
        <v>0</v>
      </c>
      <c r="D49">
        <v>0</v>
      </c>
      <c r="E49">
        <v>0</v>
      </c>
      <c r="F49">
        <v>0</v>
      </c>
      <c r="G49">
        <v>0</v>
      </c>
      <c r="H49" t="s">
        <v>1</v>
      </c>
    </row>
    <row r="50" spans="2:8" x14ac:dyDescent="0.25">
      <c r="B50" t="s">
        <v>49</v>
      </c>
      <c r="H50" t="s">
        <v>1</v>
      </c>
    </row>
    <row r="51" spans="2:8" x14ac:dyDescent="0.25">
      <c r="B51" t="s">
        <v>50</v>
      </c>
      <c r="C51">
        <v>993.4</v>
      </c>
      <c r="D51">
        <v>997.24</v>
      </c>
      <c r="E51">
        <v>986.85</v>
      </c>
      <c r="F51">
        <v>661.18</v>
      </c>
      <c r="G51">
        <v>0</v>
      </c>
      <c r="H51" t="s">
        <v>1</v>
      </c>
    </row>
    <row r="52" spans="2:8" x14ac:dyDescent="0.25">
      <c r="B52" t="s">
        <v>51</v>
      </c>
      <c r="C52">
        <v>344.36</v>
      </c>
      <c r="D52" s="2">
        <v>462.31</v>
      </c>
      <c r="E52">
        <v>914.47</v>
      </c>
      <c r="F52">
        <v>1667.69</v>
      </c>
      <c r="G52">
        <v>0</v>
      </c>
      <c r="H52" t="s">
        <v>1</v>
      </c>
    </row>
    <row r="53" spans="2:8" x14ac:dyDescent="0.25">
      <c r="B53" t="s">
        <v>52</v>
      </c>
      <c r="H53" t="s">
        <v>1</v>
      </c>
    </row>
    <row r="54" spans="2:8" x14ac:dyDescent="0.25">
      <c r="B54" t="s">
        <v>53</v>
      </c>
      <c r="C54">
        <v>0</v>
      </c>
      <c r="D54" s="2">
        <v>1749.96</v>
      </c>
      <c r="E54">
        <v>99.7</v>
      </c>
      <c r="F54" s="2">
        <v>3613.09</v>
      </c>
      <c r="G54">
        <v>0</v>
      </c>
      <c r="H54" t="s">
        <v>1</v>
      </c>
    </row>
    <row r="55" spans="2:8" x14ac:dyDescent="0.25">
      <c r="B55" t="s">
        <v>54</v>
      </c>
      <c r="C55">
        <v>205.57</v>
      </c>
      <c r="D55">
        <v>0</v>
      </c>
      <c r="E55">
        <v>0</v>
      </c>
      <c r="F55">
        <v>0</v>
      </c>
      <c r="G55">
        <v>0</v>
      </c>
      <c r="H55" t="s">
        <v>1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4EE0E3-8DD4-4837-8040-EBD096599A0E}">
  <dimension ref="B3:G12"/>
  <sheetViews>
    <sheetView showGridLines="0" workbookViewId="0">
      <selection activeCell="C12" sqref="C12"/>
    </sheetView>
  </sheetViews>
  <sheetFormatPr defaultRowHeight="15" x14ac:dyDescent="0.25"/>
  <cols>
    <col min="2" max="2" width="41.140625" bestFit="1" customWidth="1"/>
    <col min="3" max="4" width="13.140625" bestFit="1" customWidth="1"/>
    <col min="5" max="6" width="11.5703125" bestFit="1" customWidth="1"/>
    <col min="7" max="7" width="13.140625" bestFit="1" customWidth="1"/>
  </cols>
  <sheetData>
    <row r="3" spans="2:7" ht="18.75" x14ac:dyDescent="0.25">
      <c r="B3" s="13" t="s">
        <v>144</v>
      </c>
      <c r="C3" s="13">
        <v>2018</v>
      </c>
      <c r="D3" s="13">
        <v>2019</v>
      </c>
      <c r="E3" s="13">
        <v>2020</v>
      </c>
      <c r="F3" s="13">
        <v>2021</v>
      </c>
      <c r="G3" s="13">
        <v>2022</v>
      </c>
    </row>
    <row r="5" spans="2:7" ht="18.75" x14ac:dyDescent="0.25">
      <c r="B5" s="14" t="s">
        <v>151</v>
      </c>
      <c r="C5" s="14"/>
      <c r="D5" s="14"/>
      <c r="E5" s="14"/>
      <c r="F5" s="14"/>
      <c r="G5" s="14"/>
    </row>
    <row r="6" spans="2:7" ht="18.75" x14ac:dyDescent="0.25">
      <c r="B6" s="15" t="str">
        <f>'Income Statement'!B28</f>
        <v>Equity Share Dividend</v>
      </c>
      <c r="C6" s="16">
        <f>'Income Statement'!C28</f>
        <v>10242.24</v>
      </c>
      <c r="D6" s="16">
        <f>'Income Statement'!D28</f>
        <v>8105.58</v>
      </c>
      <c r="E6" s="16">
        <f>'Income Statement'!E28</f>
        <v>7395.27</v>
      </c>
      <c r="F6" s="16">
        <f>'Income Statement'!F28</f>
        <v>7703.44</v>
      </c>
      <c r="G6" s="16">
        <f>'Income Statement'!G28</f>
        <v>0</v>
      </c>
    </row>
    <row r="7" spans="2:7" ht="18.75" x14ac:dyDescent="0.25">
      <c r="B7" s="15" t="str">
        <f>'Income Statement'!B35</f>
        <v>Total Shares Outstanding(cr)</v>
      </c>
      <c r="C7" s="16">
        <f>'Income Statement'!C35</f>
        <v>446.36272727272774</v>
      </c>
      <c r="D7" s="16">
        <f>'Income Statement'!D35</f>
        <v>420.86285714285685</v>
      </c>
      <c r="E7" s="16">
        <f>'Income Statement'!E35</f>
        <v>339.24185185185155</v>
      </c>
      <c r="F7" s="16">
        <f>'Income Statement'!F35</f>
        <v>207.7457142857148</v>
      </c>
      <c r="G7" s="16">
        <f>'Income Statement'!G35</f>
        <v>707.10928571428576</v>
      </c>
    </row>
    <row r="8" spans="2:7" ht="18.75" x14ac:dyDescent="0.25">
      <c r="B8" s="15" t="s">
        <v>148</v>
      </c>
      <c r="C8" s="16">
        <f>ROUND(C6/C7, 2)</f>
        <v>22.95</v>
      </c>
      <c r="D8" s="16">
        <f t="shared" ref="D8:G8" si="0">ROUND(D6/D7, 2)</f>
        <v>19.260000000000002</v>
      </c>
      <c r="E8" s="16">
        <f t="shared" si="0"/>
        <v>21.8</v>
      </c>
      <c r="F8" s="16">
        <f t="shared" si="0"/>
        <v>37.08</v>
      </c>
      <c r="G8" s="16">
        <f t="shared" si="0"/>
        <v>0</v>
      </c>
    </row>
    <row r="9" spans="2:7" ht="18.75" x14ac:dyDescent="0.25">
      <c r="B9" s="15" t="str">
        <f>'Income Statement'!B27</f>
        <v>Reported Net Profit(PAT)</v>
      </c>
      <c r="C9" s="16">
        <f>'Income Statement'!C27</f>
        <v>4909.9900000000052</v>
      </c>
      <c r="D9" s="16">
        <f>'Income Statement'!D27</f>
        <v>11784.159999999993</v>
      </c>
      <c r="E9" s="16">
        <f>'Income Statement'!E27</f>
        <v>9159.5299999999916</v>
      </c>
      <c r="F9" s="16">
        <f>'Income Statement'!F27</f>
        <v>4362.6600000000108</v>
      </c>
      <c r="G9" s="16">
        <f>'Income Statement'!G27</f>
        <v>19799.060000000001</v>
      </c>
    </row>
    <row r="10" spans="2:7" ht="18.75" x14ac:dyDescent="0.25">
      <c r="B10" s="15" t="str">
        <f>'Income Statement'!B35</f>
        <v>Total Shares Outstanding(cr)</v>
      </c>
      <c r="C10" s="16">
        <f>'Income Statement'!C35</f>
        <v>446.36272727272774</v>
      </c>
      <c r="D10" s="16">
        <f>'Income Statement'!D35</f>
        <v>420.86285714285685</v>
      </c>
      <c r="E10" s="16">
        <f>'Income Statement'!E35</f>
        <v>339.24185185185155</v>
      </c>
      <c r="F10" s="16">
        <f>'Income Statement'!F35</f>
        <v>207.7457142857148</v>
      </c>
      <c r="G10" s="16">
        <f>'Income Statement'!G35</f>
        <v>707.10928571428576</v>
      </c>
    </row>
    <row r="11" spans="2:7" ht="18.75" x14ac:dyDescent="0.25">
      <c r="B11" s="15" t="s">
        <v>146</v>
      </c>
      <c r="C11" s="16">
        <f>C9/C10</f>
        <v>11</v>
      </c>
      <c r="D11" s="16">
        <f t="shared" ref="D11:G11" si="1">D9/D10</f>
        <v>28</v>
      </c>
      <c r="E11" s="16">
        <f t="shared" si="1"/>
        <v>27</v>
      </c>
      <c r="F11" s="16">
        <f t="shared" si="1"/>
        <v>21</v>
      </c>
      <c r="G11" s="16">
        <f t="shared" si="1"/>
        <v>28</v>
      </c>
    </row>
    <row r="12" spans="2:7" ht="18.75" x14ac:dyDescent="0.25">
      <c r="B12" s="17" t="s">
        <v>152</v>
      </c>
      <c r="C12" s="17">
        <f>ROUND(C8/C11, 2)</f>
        <v>2.09</v>
      </c>
      <c r="D12" s="17">
        <f t="shared" ref="D12:G12" si="2">ROUND(D8/D11, 2)</f>
        <v>0.69</v>
      </c>
      <c r="E12" s="17">
        <f t="shared" si="2"/>
        <v>0.81</v>
      </c>
      <c r="F12" s="17">
        <f t="shared" si="2"/>
        <v>1.77</v>
      </c>
      <c r="G12" s="17">
        <f t="shared" si="2"/>
        <v>0</v>
      </c>
    </row>
  </sheetData>
  <mergeCells count="1">
    <mergeCell ref="B5:G5"/>
  </mergeCells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5C44D6-754B-4E82-88F5-D38FBA438B49}">
  <dimension ref="B3:G9"/>
  <sheetViews>
    <sheetView showGridLines="0" workbookViewId="0">
      <selection activeCell="C9" sqref="C9"/>
    </sheetView>
  </sheetViews>
  <sheetFormatPr defaultRowHeight="15" x14ac:dyDescent="0.25"/>
  <cols>
    <col min="2" max="2" width="41.140625" bestFit="1" customWidth="1"/>
    <col min="3" max="6" width="15.140625" bestFit="1" customWidth="1"/>
    <col min="7" max="7" width="12.42578125" bestFit="1" customWidth="1"/>
  </cols>
  <sheetData>
    <row r="3" spans="2:7" ht="18.75" x14ac:dyDescent="0.25">
      <c r="B3" s="13" t="s">
        <v>144</v>
      </c>
      <c r="C3" s="13">
        <v>2018</v>
      </c>
      <c r="D3" s="13">
        <v>2019</v>
      </c>
      <c r="E3" s="13">
        <v>2020</v>
      </c>
      <c r="F3" s="13">
        <v>2021</v>
      </c>
      <c r="G3" s="13">
        <v>2022</v>
      </c>
    </row>
    <row r="5" spans="2:7" ht="18.75" x14ac:dyDescent="0.25">
      <c r="B5" s="14" t="s">
        <v>153</v>
      </c>
      <c r="C5" s="14"/>
      <c r="D5" s="14"/>
      <c r="E5" s="14"/>
      <c r="F5" s="14"/>
      <c r="G5" s="14"/>
    </row>
    <row r="6" spans="2:7" ht="18.75" x14ac:dyDescent="0.25">
      <c r="B6" s="15" t="str">
        <f>'Income Statement'!B28</f>
        <v>Equity Share Dividend</v>
      </c>
      <c r="C6" s="16">
        <f>'Income Statement'!C28</f>
        <v>10242.24</v>
      </c>
      <c r="D6" s="16">
        <f>'Income Statement'!D28</f>
        <v>8105.58</v>
      </c>
      <c r="E6" s="16">
        <f>'Income Statement'!E28</f>
        <v>7395.27</v>
      </c>
      <c r="F6" s="16">
        <f>'Income Statement'!F28</f>
        <v>7703.44</v>
      </c>
      <c r="G6" s="16">
        <f>'Income Statement'!G28</f>
        <v>0</v>
      </c>
    </row>
    <row r="7" spans="2:7" ht="18.75" x14ac:dyDescent="0.25">
      <c r="B7" s="15" t="str">
        <f>'Income Statement'!B35</f>
        <v>Total Shares Outstanding(cr)</v>
      </c>
      <c r="C7" s="16">
        <f>'Income Statement'!C35</f>
        <v>446.36272727272774</v>
      </c>
      <c r="D7" s="16">
        <f>'Income Statement'!D35</f>
        <v>420.86285714285685</v>
      </c>
      <c r="E7" s="16">
        <f>'Income Statement'!E35</f>
        <v>339.24185185185155</v>
      </c>
      <c r="F7" s="16">
        <f>'Income Statement'!F35</f>
        <v>207.7457142857148</v>
      </c>
      <c r="G7" s="16">
        <f>'Income Statement'!G35</f>
        <v>707.10928571428576</v>
      </c>
    </row>
    <row r="8" spans="2:7" ht="18.75" x14ac:dyDescent="0.25">
      <c r="B8" s="15" t="s">
        <v>154</v>
      </c>
      <c r="C8" s="16">
        <f>ROUND(C6/C7, 2)</f>
        <v>22.95</v>
      </c>
      <c r="D8" s="16">
        <f t="shared" ref="D8:G8" si="0">ROUND(D6/D7, 2)</f>
        <v>19.260000000000002</v>
      </c>
      <c r="E8" s="16">
        <f t="shared" si="0"/>
        <v>21.8</v>
      </c>
      <c r="F8" s="16">
        <f t="shared" si="0"/>
        <v>37.08</v>
      </c>
      <c r="G8" s="16">
        <f t="shared" si="0"/>
        <v>0</v>
      </c>
    </row>
    <row r="9" spans="2:7" ht="18.75" x14ac:dyDescent="0.25">
      <c r="B9" s="17" t="s">
        <v>155</v>
      </c>
      <c r="C9" s="27">
        <f>1-C8</f>
        <v>-21.95</v>
      </c>
      <c r="D9" s="27">
        <f t="shared" ref="D9:G9" si="1">1-D8</f>
        <v>-18.260000000000002</v>
      </c>
      <c r="E9" s="27">
        <f t="shared" si="1"/>
        <v>-20.8</v>
      </c>
      <c r="F9" s="27">
        <f t="shared" si="1"/>
        <v>-36.08</v>
      </c>
      <c r="G9" s="27">
        <f t="shared" si="1"/>
        <v>1</v>
      </c>
    </row>
  </sheetData>
  <mergeCells count="1">
    <mergeCell ref="B5:G5"/>
  </mergeCells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CA6708-FDB2-4BC0-828B-BE03D4DC55ED}">
  <dimension ref="B3:G8"/>
  <sheetViews>
    <sheetView showGridLines="0" workbookViewId="0">
      <selection activeCell="B8" sqref="B8"/>
    </sheetView>
  </sheetViews>
  <sheetFormatPr defaultRowHeight="15" x14ac:dyDescent="0.25"/>
  <cols>
    <col min="2" max="2" width="40.42578125" bestFit="1" customWidth="1"/>
    <col min="3" max="7" width="14.85546875" bestFit="1" customWidth="1"/>
  </cols>
  <sheetData>
    <row r="3" spans="2:7" ht="18.75" x14ac:dyDescent="0.25">
      <c r="B3" s="13" t="s">
        <v>144</v>
      </c>
      <c r="C3" s="13">
        <v>2018</v>
      </c>
      <c r="D3" s="13">
        <v>2019</v>
      </c>
      <c r="E3" s="13">
        <v>2020</v>
      </c>
      <c r="F3" s="13">
        <v>2021</v>
      </c>
      <c r="G3" s="13">
        <v>2022</v>
      </c>
    </row>
    <row r="5" spans="2:7" ht="18.75" x14ac:dyDescent="0.25">
      <c r="B5" s="14" t="s">
        <v>156</v>
      </c>
      <c r="C5" s="14"/>
      <c r="D5" s="14"/>
      <c r="E5" s="14"/>
      <c r="F5" s="14"/>
      <c r="G5" s="14"/>
    </row>
    <row r="6" spans="2:7" ht="18.75" x14ac:dyDescent="0.25">
      <c r="B6" s="15" t="str">
        <f>'Income Statement'!B5</f>
        <v>Gross Sales</v>
      </c>
      <c r="C6" s="16">
        <f>'Income Statement'!C5</f>
        <v>127162.17</v>
      </c>
      <c r="D6" s="16">
        <f>'Income Statement'!D5</f>
        <v>140603</v>
      </c>
      <c r="E6" s="16">
        <f>'Income Statement'!E5</f>
        <v>134979.13</v>
      </c>
      <c r="F6" s="16">
        <f>'Income Statement'!F5</f>
        <v>126786.13</v>
      </c>
      <c r="G6" s="16">
        <f>'Income Statement'!G5</f>
        <v>109713.5</v>
      </c>
    </row>
    <row r="7" spans="2:7" ht="18.75" x14ac:dyDescent="0.25">
      <c r="B7" s="15" t="str">
        <f>'Income Statement'!B11</f>
        <v>Cost Of Materials Consumed</v>
      </c>
      <c r="C7" s="16">
        <f>'Income Statement'!C11</f>
        <v>9345.99</v>
      </c>
      <c r="D7" s="16">
        <f>'Income Statement'!D11</f>
        <v>9774.51</v>
      </c>
      <c r="E7" s="16">
        <f>'Income Statement'!E11</f>
        <v>9552.7800000000007</v>
      </c>
      <c r="F7" s="16">
        <f>'Income Statement'!F11</f>
        <v>10123.540000000001</v>
      </c>
      <c r="G7" s="16">
        <f>'Income Statement'!G11</f>
        <v>9442.18</v>
      </c>
    </row>
    <row r="8" spans="2:7" ht="18.75" x14ac:dyDescent="0.25">
      <c r="B8" s="17" t="s">
        <v>157</v>
      </c>
      <c r="C8" s="28">
        <f>ROUND(C6- C7, 2)</f>
        <v>117816.18</v>
      </c>
      <c r="D8" s="28">
        <f t="shared" ref="D8:G8" si="0">ROUND(D6- D7, 2)</f>
        <v>130828.49</v>
      </c>
      <c r="E8" s="28">
        <f t="shared" si="0"/>
        <v>125426.35</v>
      </c>
      <c r="F8" s="28">
        <f t="shared" si="0"/>
        <v>116662.59</v>
      </c>
      <c r="G8" s="28">
        <f t="shared" si="0"/>
        <v>100271.32</v>
      </c>
    </row>
  </sheetData>
  <mergeCells count="1">
    <mergeCell ref="B5:G5"/>
  </mergeCells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E729D5-C2F0-4A01-AEC2-E65B23BE97BF}">
  <dimension ref="B3:G8"/>
  <sheetViews>
    <sheetView showGridLines="0" workbookViewId="0">
      <selection activeCell="B8" sqref="B8"/>
    </sheetView>
  </sheetViews>
  <sheetFormatPr defaultRowHeight="15" x14ac:dyDescent="0.25"/>
  <cols>
    <col min="2" max="2" width="25.85546875" bestFit="1" customWidth="1"/>
    <col min="3" max="7" width="14.85546875" bestFit="1" customWidth="1"/>
  </cols>
  <sheetData>
    <row r="3" spans="2:7" ht="18.75" x14ac:dyDescent="0.25">
      <c r="B3" s="13" t="s">
        <v>144</v>
      </c>
      <c r="C3" s="13">
        <v>2018</v>
      </c>
      <c r="D3" s="13">
        <v>2019</v>
      </c>
      <c r="E3" s="13">
        <v>2020</v>
      </c>
      <c r="F3" s="13">
        <v>2021</v>
      </c>
      <c r="G3" s="13">
        <v>2022</v>
      </c>
    </row>
    <row r="5" spans="2:7" ht="18.75" x14ac:dyDescent="0.25">
      <c r="B5" s="14" t="s">
        <v>158</v>
      </c>
      <c r="C5" s="14"/>
      <c r="D5" s="14"/>
      <c r="E5" s="14"/>
      <c r="F5" s="14"/>
      <c r="G5" s="14"/>
    </row>
    <row r="6" spans="2:7" ht="18.75" x14ac:dyDescent="0.25">
      <c r="B6" s="15" t="str">
        <f>'Income Statement'!B5</f>
        <v>Gross Sales</v>
      </c>
      <c r="C6" s="16">
        <f>'Income Statement'!C5</f>
        <v>127162.17</v>
      </c>
      <c r="D6" s="16">
        <f>'Income Statement'!D5</f>
        <v>140603</v>
      </c>
      <c r="E6" s="16">
        <f>'Income Statement'!E5</f>
        <v>134979.13</v>
      </c>
      <c r="F6" s="16">
        <f>'Income Statement'!F5</f>
        <v>126786.13</v>
      </c>
      <c r="G6" s="16">
        <f>'Income Statement'!G5</f>
        <v>109713.5</v>
      </c>
    </row>
    <row r="7" spans="2:7" ht="18.75" x14ac:dyDescent="0.25">
      <c r="B7" s="15" t="str">
        <f>'Income Statement'!B15</f>
        <v>Total Expenditure</v>
      </c>
      <c r="C7" s="16">
        <f>'Income Statement'!C15</f>
        <v>74243.5</v>
      </c>
      <c r="D7" s="16">
        <f>'Income Statement'!D15</f>
        <v>73597.8</v>
      </c>
      <c r="E7" s="16">
        <f>'Income Statement'!E15</f>
        <v>74994.47</v>
      </c>
      <c r="F7" s="16">
        <f>'Income Statement'!F15</f>
        <v>72479.360000000001</v>
      </c>
      <c r="G7" s="16">
        <f>'Income Statement'!G15</f>
        <v>82610.94</v>
      </c>
    </row>
    <row r="8" spans="2:7" ht="18.75" x14ac:dyDescent="0.25">
      <c r="B8" s="17" t="s">
        <v>159</v>
      </c>
      <c r="C8" s="28">
        <f>ROUND(C6- C7, 2)</f>
        <v>52918.67</v>
      </c>
      <c r="D8" s="28">
        <f t="shared" ref="D8:G8" si="0">ROUND(D6- D7, 2)</f>
        <v>67005.2</v>
      </c>
      <c r="E8" s="28">
        <f t="shared" si="0"/>
        <v>59984.66</v>
      </c>
      <c r="F8" s="28">
        <f t="shared" si="0"/>
        <v>54306.77</v>
      </c>
      <c r="G8" s="28">
        <f t="shared" si="0"/>
        <v>27102.560000000001</v>
      </c>
    </row>
  </sheetData>
  <mergeCells count="1">
    <mergeCell ref="B5:G5"/>
  </mergeCells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A68621-EA91-4ADE-8C0D-536C67DDFF57}">
  <dimension ref="B3:G8"/>
  <sheetViews>
    <sheetView showGridLines="0" workbookViewId="0">
      <selection activeCell="B8" sqref="B8"/>
    </sheetView>
  </sheetViews>
  <sheetFormatPr defaultRowHeight="15" x14ac:dyDescent="0.25"/>
  <cols>
    <col min="2" max="2" width="35.85546875" bestFit="1" customWidth="1"/>
    <col min="3" max="7" width="14.85546875" bestFit="1" customWidth="1"/>
  </cols>
  <sheetData>
    <row r="3" spans="2:7" ht="18.75" x14ac:dyDescent="0.25">
      <c r="B3" s="13" t="s">
        <v>144</v>
      </c>
      <c r="C3" s="13">
        <v>2018</v>
      </c>
      <c r="D3" s="13">
        <v>2019</v>
      </c>
      <c r="E3" s="13">
        <v>2020</v>
      </c>
      <c r="F3" s="13">
        <v>2021</v>
      </c>
      <c r="G3" s="13">
        <v>2022</v>
      </c>
    </row>
    <row r="5" spans="2:7" ht="18.75" x14ac:dyDescent="0.25">
      <c r="B5" s="14" t="s">
        <v>160</v>
      </c>
      <c r="C5" s="14"/>
      <c r="D5" s="14"/>
      <c r="E5" s="14"/>
      <c r="F5" s="14"/>
      <c r="G5" s="14"/>
    </row>
    <row r="6" spans="2:7" ht="18.75" x14ac:dyDescent="0.25">
      <c r="B6" s="15" t="str">
        <f>'Income Statement'!B27</f>
        <v>Reported Net Profit(PAT)</v>
      </c>
      <c r="C6" s="16">
        <f>'Income Statement'!C27</f>
        <v>4909.9900000000052</v>
      </c>
      <c r="D6" s="16">
        <f>'Income Statement'!D27</f>
        <v>11784.159999999993</v>
      </c>
      <c r="E6" s="16">
        <f>'Income Statement'!E27</f>
        <v>9159.5299999999916</v>
      </c>
      <c r="F6" s="16">
        <f>'Income Statement'!F27</f>
        <v>4362.6600000000108</v>
      </c>
      <c r="G6" s="16">
        <f>'Income Statement'!G27</f>
        <v>19799.060000000001</v>
      </c>
    </row>
    <row r="7" spans="2:7" ht="18.75" x14ac:dyDescent="0.25">
      <c r="B7" s="15" t="str">
        <f>'Balance Sheet'!B40</f>
        <v>Total Assets</v>
      </c>
      <c r="C7" s="16">
        <f>'Balance Sheet'!C40</f>
        <v>127491.72999999998</v>
      </c>
      <c r="D7" s="16">
        <f>'Balance Sheet'!D40</f>
        <v>127911.51999999999</v>
      </c>
      <c r="E7" s="16">
        <f>'Balance Sheet'!E40</f>
        <v>139299.34999999998</v>
      </c>
      <c r="F7" s="16">
        <f>'Balance Sheet'!F40</f>
        <v>143050.34</v>
      </c>
      <c r="G7" s="16">
        <f>'Balance Sheet'!G40</f>
        <v>174687.35999999999</v>
      </c>
    </row>
    <row r="8" spans="2:7" ht="18.75" x14ac:dyDescent="0.25">
      <c r="B8" s="17" t="s">
        <v>161</v>
      </c>
      <c r="C8" s="27">
        <f>ROUND(C6/ C7, 2)</f>
        <v>0.04</v>
      </c>
      <c r="D8" s="27">
        <f t="shared" ref="D8:G8" si="0">ROUND(D6/ D7, 2)</f>
        <v>0.09</v>
      </c>
      <c r="E8" s="27">
        <f t="shared" si="0"/>
        <v>7.0000000000000007E-2</v>
      </c>
      <c r="F8" s="27">
        <f t="shared" si="0"/>
        <v>0.03</v>
      </c>
      <c r="G8" s="27">
        <f t="shared" si="0"/>
        <v>0.11</v>
      </c>
    </row>
  </sheetData>
  <mergeCells count="1">
    <mergeCell ref="B5:G5"/>
  </mergeCells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2EAAB6-F3B4-41D4-99AD-A1296DE58F6B}">
  <dimension ref="B3:G9"/>
  <sheetViews>
    <sheetView showGridLines="0" workbookViewId="0">
      <selection activeCell="B9" sqref="B9"/>
    </sheetView>
  </sheetViews>
  <sheetFormatPr defaultRowHeight="15" x14ac:dyDescent="0.25"/>
  <cols>
    <col min="2" max="2" width="42.140625" bestFit="1" customWidth="1"/>
    <col min="3" max="7" width="13.140625" bestFit="1" customWidth="1"/>
  </cols>
  <sheetData>
    <row r="3" spans="2:7" ht="18.75" x14ac:dyDescent="0.25">
      <c r="B3" s="13" t="s">
        <v>144</v>
      </c>
      <c r="C3" s="13">
        <v>2018</v>
      </c>
      <c r="D3" s="13">
        <v>2019</v>
      </c>
      <c r="E3" s="13">
        <v>2020</v>
      </c>
      <c r="F3" s="13">
        <v>2021</v>
      </c>
      <c r="G3" s="13">
        <v>2022</v>
      </c>
    </row>
    <row r="5" spans="2:7" ht="18.75" x14ac:dyDescent="0.25">
      <c r="B5" s="14" t="s">
        <v>162</v>
      </c>
      <c r="C5" s="14"/>
      <c r="D5" s="14"/>
      <c r="E5" s="14"/>
      <c r="F5" s="14"/>
      <c r="G5" s="14"/>
    </row>
    <row r="6" spans="2:7" ht="18.75" x14ac:dyDescent="0.25">
      <c r="B6" s="15" t="str">
        <f>'Income Statement'!B19</f>
        <v>PBIT</v>
      </c>
      <c r="C6" s="16">
        <f>'Income Statement'!C19</f>
        <v>9048.440000000006</v>
      </c>
      <c r="D6" s="16">
        <f>'Income Statement'!D19</f>
        <v>21721.649999999994</v>
      </c>
      <c r="E6" s="16">
        <f>'Income Statement'!E19</f>
        <v>17033.429999999989</v>
      </c>
      <c r="F6" s="16">
        <f>'Income Statement'!F19</f>
        <v>10314.420000000011</v>
      </c>
      <c r="G6" s="16">
        <f>'Income Statement'!G19</f>
        <v>26578.410000000003</v>
      </c>
    </row>
    <row r="7" spans="2:7" ht="18.75" x14ac:dyDescent="0.25">
      <c r="B7" s="15" t="str">
        <f>'Balance Sheet'!B13</f>
        <v>Total Debt</v>
      </c>
      <c r="C7" s="16">
        <f>'Balance Sheet'!C13</f>
        <v>1530.94</v>
      </c>
      <c r="D7" s="16">
        <f>'Balance Sheet'!D13</f>
        <v>2202.7399999999998</v>
      </c>
      <c r="E7" s="16">
        <f>'Balance Sheet'!E13</f>
        <v>6733.03</v>
      </c>
      <c r="F7" s="16">
        <f>'Balance Sheet'!F13</f>
        <v>6597.37</v>
      </c>
      <c r="G7" s="16">
        <f>'Balance Sheet'!G13</f>
        <v>4120.78</v>
      </c>
    </row>
    <row r="8" spans="2:7" ht="18.75" x14ac:dyDescent="0.25">
      <c r="B8" s="15" t="str">
        <f>'Balance Sheet'!B9</f>
        <v>Net Worth</v>
      </c>
      <c r="C8" s="16">
        <f>'Balance Sheet'!C9</f>
        <v>19846.57</v>
      </c>
      <c r="D8" s="16">
        <f>'Balance Sheet'!D9</f>
        <v>21646.609999999993</v>
      </c>
      <c r="E8" s="16">
        <f>'Balance Sheet'!E9</f>
        <v>21128.789999999983</v>
      </c>
      <c r="F8" s="16">
        <f>'Balance Sheet'!F9</f>
        <v>17788.009999999995</v>
      </c>
      <c r="G8" s="16">
        <f>'Balance Sheet'!G9</f>
        <v>37587.069999999992</v>
      </c>
    </row>
    <row r="9" spans="2:7" ht="18.75" x14ac:dyDescent="0.25">
      <c r="B9" s="17" t="s">
        <v>163</v>
      </c>
      <c r="C9" s="27">
        <f>ROUND(C6/ (C7+ C7), 2)</f>
        <v>2.96</v>
      </c>
      <c r="D9" s="27">
        <f t="shared" ref="D9:G9" si="0">ROUND(D6/ (D7+ D7), 2)</f>
        <v>4.93</v>
      </c>
      <c r="E9" s="27">
        <f t="shared" si="0"/>
        <v>1.26</v>
      </c>
      <c r="F9" s="27">
        <f t="shared" si="0"/>
        <v>0.78</v>
      </c>
      <c r="G9" s="27">
        <f t="shared" si="0"/>
        <v>3.22</v>
      </c>
    </row>
  </sheetData>
  <mergeCells count="1">
    <mergeCell ref="B5:G5"/>
  </mergeCells>
  <pageMargins left="0.7" right="0.7" top="0.75" bottom="0.75" header="0.3" footer="0.3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B98B86-DC00-47A1-BF9E-EA04DD041887}">
  <dimension ref="B3:G8"/>
  <sheetViews>
    <sheetView showGridLines="0" workbookViewId="0">
      <selection activeCell="B8" sqref="B8"/>
    </sheetView>
  </sheetViews>
  <sheetFormatPr defaultRowHeight="15" x14ac:dyDescent="0.25"/>
  <cols>
    <col min="2" max="2" width="35.85546875" bestFit="1" customWidth="1"/>
    <col min="3" max="7" width="13.140625" bestFit="1" customWidth="1"/>
  </cols>
  <sheetData>
    <row r="3" spans="2:7" ht="18.75" x14ac:dyDescent="0.25">
      <c r="B3" s="13" t="s">
        <v>144</v>
      </c>
      <c r="C3" s="13">
        <v>2018</v>
      </c>
      <c r="D3" s="13">
        <v>2019</v>
      </c>
      <c r="E3" s="13">
        <v>2020</v>
      </c>
      <c r="F3" s="13">
        <v>2021</v>
      </c>
      <c r="G3" s="13">
        <v>2022</v>
      </c>
    </row>
    <row r="5" spans="2:7" ht="18.75" x14ac:dyDescent="0.25">
      <c r="B5" s="14" t="s">
        <v>164</v>
      </c>
      <c r="C5" s="14"/>
      <c r="D5" s="14"/>
      <c r="E5" s="14"/>
      <c r="F5" s="14"/>
      <c r="G5" s="14"/>
    </row>
    <row r="6" spans="2:7" ht="18.75" x14ac:dyDescent="0.25">
      <c r="B6" s="15" t="str">
        <f>'Income Statement'!B27</f>
        <v>Reported Net Profit(PAT)</v>
      </c>
      <c r="C6" s="16">
        <f>'Income Statement'!C27</f>
        <v>4909.9900000000052</v>
      </c>
      <c r="D6" s="16">
        <f>'Income Statement'!D27</f>
        <v>11784.159999999993</v>
      </c>
      <c r="E6" s="16">
        <f>'Income Statement'!E27</f>
        <v>9159.5299999999916</v>
      </c>
      <c r="F6" s="16">
        <f>'Income Statement'!F27</f>
        <v>4362.6600000000108</v>
      </c>
      <c r="G6" s="16">
        <f>'Income Statement'!G27</f>
        <v>19799.060000000001</v>
      </c>
    </row>
    <row r="7" spans="2:7" ht="18.75" x14ac:dyDescent="0.25">
      <c r="B7" s="15" t="str">
        <f>'Balance Sheet'!B9</f>
        <v>Net Worth</v>
      </c>
      <c r="C7" s="16">
        <f>'Balance Sheet'!C9</f>
        <v>19846.57</v>
      </c>
      <c r="D7" s="16">
        <f>'Balance Sheet'!D9</f>
        <v>21646.609999999993</v>
      </c>
      <c r="E7" s="16">
        <f>'Balance Sheet'!E9</f>
        <v>21128.789999999983</v>
      </c>
      <c r="F7" s="16">
        <f>'Balance Sheet'!F9</f>
        <v>17788.009999999995</v>
      </c>
      <c r="G7" s="16">
        <f>'Balance Sheet'!G9</f>
        <v>37587.069999999992</v>
      </c>
    </row>
    <row r="8" spans="2:7" ht="18.75" x14ac:dyDescent="0.25">
      <c r="B8" s="17" t="s">
        <v>165</v>
      </c>
      <c r="C8" s="27">
        <f>ROUND(C6/ (C7+ C7), 2)</f>
        <v>0.12</v>
      </c>
      <c r="D8" s="27">
        <f t="shared" ref="D8:G8" si="0">ROUND(D6/ (D7+ D7), 2)</f>
        <v>0.27</v>
      </c>
      <c r="E8" s="27">
        <f t="shared" si="0"/>
        <v>0.22</v>
      </c>
      <c r="F8" s="27">
        <f t="shared" si="0"/>
        <v>0.12</v>
      </c>
      <c r="G8" s="27">
        <f t="shared" si="0"/>
        <v>0.26</v>
      </c>
    </row>
  </sheetData>
  <mergeCells count="1">
    <mergeCell ref="B5:G5"/>
  </mergeCells>
  <pageMargins left="0.7" right="0.7" top="0.75" bottom="0.75" header="0.3" footer="0.3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0DFC2F-BEC0-489B-A7E7-9A3FE6AEBD1A}">
  <dimension ref="B3:G8"/>
  <sheetViews>
    <sheetView showGridLines="0" workbookViewId="0">
      <selection activeCell="B8" sqref="B8"/>
    </sheetView>
  </sheetViews>
  <sheetFormatPr defaultRowHeight="15" x14ac:dyDescent="0.25"/>
  <cols>
    <col min="2" max="2" width="25.85546875" bestFit="1" customWidth="1"/>
    <col min="3" max="7" width="13.140625" bestFit="1" customWidth="1"/>
  </cols>
  <sheetData>
    <row r="3" spans="2:7" ht="18.75" x14ac:dyDescent="0.25">
      <c r="B3" s="13" t="s">
        <v>144</v>
      </c>
      <c r="C3" s="13">
        <v>2018</v>
      </c>
      <c r="D3" s="13">
        <v>2019</v>
      </c>
      <c r="E3" s="13">
        <v>2020</v>
      </c>
      <c r="F3" s="13">
        <v>2021</v>
      </c>
      <c r="G3" s="13">
        <v>2022</v>
      </c>
    </row>
    <row r="5" spans="2:7" ht="18.75" x14ac:dyDescent="0.25">
      <c r="B5" s="14" t="s">
        <v>166</v>
      </c>
      <c r="C5" s="14"/>
      <c r="D5" s="14"/>
      <c r="E5" s="14"/>
      <c r="F5" s="14"/>
      <c r="G5" s="14"/>
    </row>
    <row r="6" spans="2:7" ht="18.75" x14ac:dyDescent="0.25">
      <c r="B6" s="15" t="str">
        <f>'Balance Sheet'!B13</f>
        <v>Total Debt</v>
      </c>
      <c r="C6" s="16">
        <f>'Balance Sheet'!C13</f>
        <v>1530.94</v>
      </c>
      <c r="D6" s="16">
        <f>'Balance Sheet'!D13</f>
        <v>2202.7399999999998</v>
      </c>
      <c r="E6" s="16">
        <f>'Balance Sheet'!E13</f>
        <v>6733.03</v>
      </c>
      <c r="F6" s="16">
        <f>'Balance Sheet'!F13</f>
        <v>6597.37</v>
      </c>
      <c r="G6" s="16">
        <f>'Balance Sheet'!G13</f>
        <v>4120.78</v>
      </c>
    </row>
    <row r="7" spans="2:7" ht="18.75" x14ac:dyDescent="0.25">
      <c r="B7" s="15" t="str">
        <f>'Balance Sheet'!B9</f>
        <v>Net Worth</v>
      </c>
      <c r="C7" s="16">
        <f>'Balance Sheet'!C9</f>
        <v>19846.57</v>
      </c>
      <c r="D7" s="16">
        <f>'Balance Sheet'!D9</f>
        <v>21646.609999999993</v>
      </c>
      <c r="E7" s="16">
        <f>'Balance Sheet'!E9</f>
        <v>21128.789999999983</v>
      </c>
      <c r="F7" s="16">
        <f>'Balance Sheet'!F9</f>
        <v>17788.009999999995</v>
      </c>
      <c r="G7" s="16">
        <f>'Balance Sheet'!G9</f>
        <v>37587.069999999992</v>
      </c>
    </row>
    <row r="8" spans="2:7" ht="18.75" x14ac:dyDescent="0.25">
      <c r="B8" s="17" t="s">
        <v>167</v>
      </c>
      <c r="C8" s="17">
        <f>ROUND(C6/ C7, 2)</f>
        <v>0.08</v>
      </c>
      <c r="D8" s="17">
        <f t="shared" ref="D8:G8" si="0">ROUND(D6/ D7, 2)</f>
        <v>0.1</v>
      </c>
      <c r="E8" s="17">
        <f t="shared" si="0"/>
        <v>0.32</v>
      </c>
      <c r="F8" s="17">
        <f t="shared" si="0"/>
        <v>0.37</v>
      </c>
      <c r="G8" s="17">
        <f t="shared" si="0"/>
        <v>0.11</v>
      </c>
    </row>
  </sheetData>
  <mergeCells count="1">
    <mergeCell ref="B5:G5"/>
  </mergeCells>
  <pageMargins left="0.7" right="0.7" top="0.75" bottom="0.75" header="0.3" footer="0.3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581545-1772-4E74-B88D-22A9490AFA64}">
  <dimension ref="B3:G8"/>
  <sheetViews>
    <sheetView showGridLines="0" workbookViewId="0">
      <selection activeCell="B8" sqref="B8"/>
    </sheetView>
  </sheetViews>
  <sheetFormatPr defaultRowHeight="15" x14ac:dyDescent="0.25"/>
  <cols>
    <col min="2" max="2" width="34.42578125" bestFit="1" customWidth="1"/>
    <col min="3" max="7" width="14.85546875" bestFit="1" customWidth="1"/>
  </cols>
  <sheetData>
    <row r="3" spans="2:7" ht="18.75" x14ac:dyDescent="0.25">
      <c r="B3" s="13" t="s">
        <v>144</v>
      </c>
      <c r="C3" s="13">
        <v>2018</v>
      </c>
      <c r="D3" s="13">
        <v>2019</v>
      </c>
      <c r="E3" s="13">
        <v>2020</v>
      </c>
      <c r="F3" s="13">
        <v>2021</v>
      </c>
      <c r="G3" s="13">
        <v>2022</v>
      </c>
    </row>
    <row r="5" spans="2:7" ht="18.75" x14ac:dyDescent="0.25">
      <c r="B5" s="14" t="s">
        <v>168</v>
      </c>
      <c r="C5" s="14"/>
      <c r="D5" s="14"/>
      <c r="E5" s="14"/>
      <c r="F5" s="14"/>
      <c r="G5" s="14"/>
    </row>
    <row r="6" spans="2:7" ht="18.75" x14ac:dyDescent="0.25">
      <c r="B6" s="15" t="str">
        <f>'Balance Sheet'!B39</f>
        <v>Total Current Assets</v>
      </c>
      <c r="C6" s="16">
        <f>'Balance Sheet'!C39</f>
        <v>88119.26999999999</v>
      </c>
      <c r="D6" s="16">
        <f>'Balance Sheet'!D39</f>
        <v>89993.729999999981</v>
      </c>
      <c r="E6" s="16">
        <f>'Balance Sheet'!E39</f>
        <v>103616.09999999999</v>
      </c>
      <c r="F6" s="16">
        <f>'Balance Sheet'!F39</f>
        <v>99507.159999999989</v>
      </c>
      <c r="G6" s="16">
        <f>'Balance Sheet'!G39</f>
        <v>120445.67</v>
      </c>
    </row>
    <row r="7" spans="2:7" ht="18.75" x14ac:dyDescent="0.25">
      <c r="B7" s="15" t="str">
        <f>'Balance Sheet'!B19</f>
        <v>Total Current Liabilities</v>
      </c>
      <c r="C7" s="16">
        <f>'Balance Sheet'!C19</f>
        <v>105751.77</v>
      </c>
      <c r="D7" s="16">
        <f>'Balance Sheet'!D19</f>
        <v>103655.38999999998</v>
      </c>
      <c r="E7" s="16">
        <f>'Balance Sheet'!E19</f>
        <v>111043.45</v>
      </c>
      <c r="F7" s="16">
        <f>'Balance Sheet'!F19</f>
        <v>118223.88</v>
      </c>
      <c r="G7" s="16">
        <f>'Balance Sheet'!G19</f>
        <v>132305.72</v>
      </c>
    </row>
    <row r="8" spans="2:7" ht="18.75" x14ac:dyDescent="0.25">
      <c r="B8" s="17" t="s">
        <v>169</v>
      </c>
      <c r="C8" s="17">
        <f>ROUND(C6/ C7, 2)</f>
        <v>0.83</v>
      </c>
      <c r="D8" s="17">
        <f t="shared" ref="D8:G8" si="0">ROUND(D6/ D7, 2)</f>
        <v>0.87</v>
      </c>
      <c r="E8" s="17">
        <f t="shared" si="0"/>
        <v>0.93</v>
      </c>
      <c r="F8" s="17">
        <f t="shared" si="0"/>
        <v>0.84</v>
      </c>
      <c r="G8" s="17">
        <f t="shared" si="0"/>
        <v>0.91</v>
      </c>
    </row>
  </sheetData>
  <mergeCells count="1">
    <mergeCell ref="B5:G5"/>
  </mergeCells>
  <pageMargins left="0.7" right="0.7" top="0.75" bottom="0.75" header="0.3" footer="0.3"/>
  <drawing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1779A8-3EBE-40AC-BF88-56F2B49CBF36}">
  <dimension ref="B3:G9"/>
  <sheetViews>
    <sheetView showGridLines="0" workbookViewId="0">
      <selection activeCell="B9" sqref="B9"/>
    </sheetView>
  </sheetViews>
  <sheetFormatPr defaultRowHeight="15" x14ac:dyDescent="0.25"/>
  <cols>
    <col min="2" max="2" width="34.42578125" bestFit="1" customWidth="1"/>
    <col min="3" max="7" width="14.85546875" bestFit="1" customWidth="1"/>
  </cols>
  <sheetData>
    <row r="3" spans="2:7" ht="18.75" x14ac:dyDescent="0.25">
      <c r="B3" s="13" t="s">
        <v>144</v>
      </c>
      <c r="C3" s="13">
        <v>2018</v>
      </c>
      <c r="D3" s="13">
        <v>2019</v>
      </c>
      <c r="E3" s="13">
        <v>2020</v>
      </c>
      <c r="F3" s="13">
        <v>2021</v>
      </c>
      <c r="G3" s="13">
        <v>2022</v>
      </c>
    </row>
    <row r="5" spans="2:7" ht="18.75" x14ac:dyDescent="0.25">
      <c r="B5" s="14" t="s">
        <v>170</v>
      </c>
      <c r="C5" s="14"/>
      <c r="D5" s="14"/>
      <c r="E5" s="14"/>
      <c r="F5" s="14"/>
      <c r="G5" s="14"/>
    </row>
    <row r="6" spans="2:7" ht="18.75" x14ac:dyDescent="0.25">
      <c r="B6" s="15" t="str">
        <f>'Balance Sheet'!B39</f>
        <v>Total Current Assets</v>
      </c>
      <c r="C6" s="16">
        <f>'Balance Sheet'!C39</f>
        <v>88119.26999999999</v>
      </c>
      <c r="D6" s="16">
        <f>'Balance Sheet'!D39</f>
        <v>89993.729999999981</v>
      </c>
      <c r="E6" s="16">
        <f>'Balance Sheet'!E39</f>
        <v>103616.09999999999</v>
      </c>
      <c r="F6" s="16">
        <f>'Balance Sheet'!F39</f>
        <v>99507.159999999989</v>
      </c>
      <c r="G6" s="16">
        <f>'Balance Sheet'!G39</f>
        <v>120445.67</v>
      </c>
    </row>
    <row r="7" spans="2:7" ht="18.75" x14ac:dyDescent="0.25">
      <c r="B7" s="15" t="str">
        <f>'Balance Sheet'!B36</f>
        <v>Inventories</v>
      </c>
      <c r="C7" s="16">
        <f>'Balance Sheet'!C36</f>
        <v>6443.85</v>
      </c>
      <c r="D7" s="16">
        <f>'Balance Sheet'!D36</f>
        <v>5583.93</v>
      </c>
      <c r="E7" s="16">
        <f>'Balance Sheet'!E36</f>
        <v>6617.98</v>
      </c>
      <c r="F7" s="16">
        <f>'Balance Sheet'!F36</f>
        <v>8947.4699999999993</v>
      </c>
      <c r="G7" s="16">
        <f>'Balance Sheet'!G36</f>
        <v>7075.68</v>
      </c>
    </row>
    <row r="8" spans="2:7" ht="18.75" x14ac:dyDescent="0.25">
      <c r="B8" s="15" t="str">
        <f>'Balance Sheet'!B19</f>
        <v>Total Current Liabilities</v>
      </c>
      <c r="C8" s="16">
        <f>'Balance Sheet'!C19</f>
        <v>105751.77</v>
      </c>
      <c r="D8" s="16">
        <f>'Balance Sheet'!D19</f>
        <v>103655.38999999998</v>
      </c>
      <c r="E8" s="16">
        <f>'Balance Sheet'!E19</f>
        <v>111043.45</v>
      </c>
      <c r="F8" s="16">
        <f>'Balance Sheet'!F19</f>
        <v>118223.88</v>
      </c>
      <c r="G8" s="16">
        <f>'Balance Sheet'!G19</f>
        <v>132305.72</v>
      </c>
    </row>
    <row r="9" spans="2:7" ht="18.75" x14ac:dyDescent="0.25">
      <c r="B9" s="17" t="s">
        <v>171</v>
      </c>
      <c r="C9" s="17">
        <f>ROUND((C6-C7)/ C8, 2)</f>
        <v>0.77</v>
      </c>
      <c r="D9" s="17">
        <f t="shared" ref="D9:G9" si="0">ROUND((D6-D7)/ D8, 2)</f>
        <v>0.81</v>
      </c>
      <c r="E9" s="17">
        <f t="shared" si="0"/>
        <v>0.87</v>
      </c>
      <c r="F9" s="17">
        <f t="shared" si="0"/>
        <v>0.77</v>
      </c>
      <c r="G9" s="17">
        <f t="shared" si="0"/>
        <v>0.86</v>
      </c>
    </row>
  </sheetData>
  <mergeCells count="1">
    <mergeCell ref="B5:G5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D875F7-9E5E-4B54-B8E5-AAA3564D5F22}">
  <dimension ref="A2:H41"/>
  <sheetViews>
    <sheetView topLeftCell="A23" workbookViewId="0">
      <selection activeCell="A41" sqref="A41"/>
    </sheetView>
  </sheetViews>
  <sheetFormatPr defaultRowHeight="15" x14ac:dyDescent="0.25"/>
  <sheetData>
    <row r="2" spans="1:8" x14ac:dyDescent="0.25">
      <c r="B2" s="3" t="s">
        <v>55</v>
      </c>
      <c r="C2" s="1">
        <v>44638</v>
      </c>
      <c r="D2" s="1">
        <v>44639</v>
      </c>
      <c r="E2" s="1">
        <v>44640</v>
      </c>
      <c r="F2" s="1">
        <v>44641</v>
      </c>
      <c r="G2" s="1">
        <v>44642</v>
      </c>
      <c r="H2" t="s">
        <v>1</v>
      </c>
    </row>
    <row r="3" spans="1:8" x14ac:dyDescent="0.25">
      <c r="B3" t="s">
        <v>1</v>
      </c>
      <c r="C3" t="s">
        <v>2</v>
      </c>
      <c r="D3" t="s">
        <v>2</v>
      </c>
      <c r="E3" t="s">
        <v>2</v>
      </c>
      <c r="F3" t="s">
        <v>2</v>
      </c>
      <c r="G3" t="s">
        <v>2</v>
      </c>
      <c r="H3" t="s">
        <v>1</v>
      </c>
    </row>
    <row r="4" spans="1:8" x14ac:dyDescent="0.25">
      <c r="B4" t="s">
        <v>56</v>
      </c>
      <c r="H4" t="s">
        <v>1</v>
      </c>
    </row>
    <row r="5" spans="1:8" x14ac:dyDescent="0.25">
      <c r="A5" t="s">
        <v>97</v>
      </c>
      <c r="B5" t="s">
        <v>97</v>
      </c>
      <c r="C5" s="2">
        <v>127162.17</v>
      </c>
      <c r="D5" s="2">
        <v>140603</v>
      </c>
      <c r="E5" s="2">
        <v>134979.13</v>
      </c>
      <c r="F5" s="2">
        <v>126786.13</v>
      </c>
      <c r="G5" s="2">
        <v>109713.5</v>
      </c>
      <c r="H5" t="s">
        <v>1</v>
      </c>
    </row>
    <row r="6" spans="1:8" x14ac:dyDescent="0.25">
      <c r="A6" t="s">
        <v>98</v>
      </c>
      <c r="B6" t="s">
        <v>98</v>
      </c>
      <c r="C6">
        <v>45462.17</v>
      </c>
      <c r="D6" s="2">
        <v>47706.92</v>
      </c>
      <c r="E6" s="2">
        <v>45605.79</v>
      </c>
      <c r="F6" s="2">
        <v>44075.81</v>
      </c>
      <c r="G6" s="2">
        <v>0</v>
      </c>
      <c r="H6" t="s">
        <v>1</v>
      </c>
    </row>
    <row r="7" spans="1:8" x14ac:dyDescent="0.25">
      <c r="B7" t="s">
        <v>57</v>
      </c>
      <c r="C7" s="2">
        <v>81700</v>
      </c>
      <c r="D7" s="2">
        <v>92896.08</v>
      </c>
      <c r="E7" s="2">
        <v>89373.34</v>
      </c>
      <c r="F7" s="2">
        <v>82710.320000000007</v>
      </c>
      <c r="G7" s="2">
        <v>109713.5</v>
      </c>
      <c r="H7" t="s">
        <v>1</v>
      </c>
    </row>
    <row r="8" spans="1:8" x14ac:dyDescent="0.25">
      <c r="B8" t="s">
        <v>58</v>
      </c>
      <c r="C8" s="2">
        <v>85862.44</v>
      </c>
      <c r="D8" s="2">
        <v>99546.89</v>
      </c>
      <c r="E8" s="2">
        <v>96080.34</v>
      </c>
      <c r="F8" s="2">
        <v>90026.01</v>
      </c>
      <c r="G8" s="2">
        <v>109713.5</v>
      </c>
      <c r="H8" t="s">
        <v>1</v>
      </c>
    </row>
    <row r="9" spans="1:8" x14ac:dyDescent="0.25">
      <c r="A9" t="s">
        <v>59</v>
      </c>
      <c r="B9" t="s">
        <v>59</v>
      </c>
      <c r="C9" s="2">
        <v>4658.32</v>
      </c>
      <c r="D9" s="2">
        <v>5873.73</v>
      </c>
      <c r="E9" s="2">
        <v>6105.4</v>
      </c>
      <c r="F9" s="2">
        <v>3792.38</v>
      </c>
      <c r="G9" s="2">
        <v>3904.52</v>
      </c>
      <c r="H9" t="s">
        <v>1</v>
      </c>
    </row>
    <row r="10" spans="1:8" x14ac:dyDescent="0.25">
      <c r="B10" t="s">
        <v>60</v>
      </c>
      <c r="C10" s="2">
        <v>90520.76</v>
      </c>
      <c r="D10" s="2">
        <v>105420.62</v>
      </c>
      <c r="E10" s="2">
        <v>102185.74</v>
      </c>
      <c r="F10" s="2">
        <v>93818.39</v>
      </c>
      <c r="G10" s="2">
        <v>113618.02</v>
      </c>
      <c r="H10" t="s">
        <v>1</v>
      </c>
    </row>
    <row r="11" spans="1:8" x14ac:dyDescent="0.25">
      <c r="B11" t="s">
        <v>61</v>
      </c>
      <c r="H11" t="s">
        <v>1</v>
      </c>
    </row>
    <row r="12" spans="1:8" x14ac:dyDescent="0.25">
      <c r="A12" t="s">
        <v>99</v>
      </c>
      <c r="B12" t="s">
        <v>62</v>
      </c>
      <c r="C12" s="2">
        <v>9345.99</v>
      </c>
      <c r="D12" s="2">
        <v>9774.51</v>
      </c>
      <c r="E12" s="2">
        <v>9552.7800000000007</v>
      </c>
      <c r="F12" s="2">
        <v>10123.540000000001</v>
      </c>
      <c r="G12" s="2">
        <v>9442.18</v>
      </c>
      <c r="H12" t="s">
        <v>1</v>
      </c>
    </row>
    <row r="13" spans="1:8" x14ac:dyDescent="0.25">
      <c r="B13" t="s">
        <v>63</v>
      </c>
      <c r="C13">
        <v>0</v>
      </c>
      <c r="D13">
        <v>0</v>
      </c>
      <c r="E13">
        <v>60.8</v>
      </c>
      <c r="F13">
        <v>282.33999999999997</v>
      </c>
      <c r="G13">
        <v>103.56</v>
      </c>
      <c r="H13" t="s">
        <v>1</v>
      </c>
    </row>
    <row r="14" spans="1:8" x14ac:dyDescent="0.25">
      <c r="A14" t="s">
        <v>99</v>
      </c>
      <c r="B14" t="s">
        <v>64</v>
      </c>
      <c r="C14">
        <v>12766.97</v>
      </c>
      <c r="D14" s="2">
        <v>19895.59</v>
      </c>
      <c r="E14" s="2">
        <v>19453.419999999998</v>
      </c>
      <c r="F14" s="2">
        <v>16023.08</v>
      </c>
      <c r="G14" s="2">
        <v>0</v>
      </c>
      <c r="H14" t="s">
        <v>1</v>
      </c>
    </row>
    <row r="15" spans="1:8" x14ac:dyDescent="0.25">
      <c r="B15" t="s">
        <v>65</v>
      </c>
      <c r="C15" s="2">
        <v>1679.46</v>
      </c>
      <c r="D15" s="2">
        <v>856.24</v>
      </c>
      <c r="E15" s="2">
        <v>-1042.6199999999999</v>
      </c>
      <c r="F15">
        <v>-2351.2600000000002</v>
      </c>
      <c r="G15" s="2">
        <v>2308.4899999999998</v>
      </c>
      <c r="H15" t="s">
        <v>1</v>
      </c>
    </row>
    <row r="16" spans="1:8" x14ac:dyDescent="0.25">
      <c r="A16" t="s">
        <v>99</v>
      </c>
      <c r="B16" t="s">
        <v>66</v>
      </c>
      <c r="C16" s="2">
        <v>42633.599999999999</v>
      </c>
      <c r="D16" s="2">
        <v>38770.1</v>
      </c>
      <c r="E16" s="2">
        <v>39384.080000000002</v>
      </c>
      <c r="F16" s="2">
        <v>38697.72</v>
      </c>
      <c r="G16" s="2">
        <v>40700.82</v>
      </c>
      <c r="H16" t="s">
        <v>1</v>
      </c>
    </row>
    <row r="17" spans="1:8" x14ac:dyDescent="0.25">
      <c r="A17" t="s">
        <v>100</v>
      </c>
      <c r="B17" t="s">
        <v>67</v>
      </c>
      <c r="C17">
        <v>431.79</v>
      </c>
      <c r="D17">
        <v>275.04000000000002</v>
      </c>
      <c r="E17">
        <v>502.92</v>
      </c>
      <c r="F17">
        <v>644.69000000000005</v>
      </c>
      <c r="G17">
        <v>541.49</v>
      </c>
      <c r="H17" t="s">
        <v>1</v>
      </c>
    </row>
    <row r="18" spans="1:8" x14ac:dyDescent="0.25">
      <c r="A18" t="s">
        <v>101</v>
      </c>
      <c r="B18" t="s">
        <v>68</v>
      </c>
      <c r="C18" s="2">
        <v>3066.38</v>
      </c>
      <c r="D18" s="2">
        <v>3450.36</v>
      </c>
      <c r="E18" s="2">
        <v>3450.84</v>
      </c>
      <c r="F18" s="2">
        <v>3708.92</v>
      </c>
      <c r="G18" s="2">
        <v>4428.67</v>
      </c>
      <c r="H18" t="s">
        <v>1</v>
      </c>
    </row>
    <row r="19" spans="1:8" x14ac:dyDescent="0.25">
      <c r="A19" t="s">
        <v>99</v>
      </c>
      <c r="B19" t="s">
        <v>69</v>
      </c>
      <c r="C19" s="2">
        <v>9496.94</v>
      </c>
      <c r="D19" s="2">
        <v>5157.6000000000004</v>
      </c>
      <c r="E19" s="2">
        <v>6604.19</v>
      </c>
      <c r="F19" s="2">
        <v>7635.02</v>
      </c>
      <c r="G19" s="2">
        <v>32467.94</v>
      </c>
      <c r="H19" t="s">
        <v>1</v>
      </c>
    </row>
    <row r="20" spans="1:8" x14ac:dyDescent="0.25">
      <c r="B20" t="s">
        <v>70</v>
      </c>
      <c r="C20" s="2">
        <v>79794.320000000007</v>
      </c>
      <c r="D20" s="2">
        <v>78295.16</v>
      </c>
      <c r="E20" s="2">
        <v>78113.25</v>
      </c>
      <c r="F20" s="2">
        <v>75806.179999999993</v>
      </c>
      <c r="G20" s="2">
        <v>89993.15</v>
      </c>
      <c r="H20" t="s">
        <v>1</v>
      </c>
    </row>
    <row r="21" spans="1:8" x14ac:dyDescent="0.25">
      <c r="B21" t="s">
        <v>71</v>
      </c>
      <c r="C21" s="2">
        <v>10726.44</v>
      </c>
      <c r="D21" s="2">
        <v>27125.46</v>
      </c>
      <c r="E21" s="2">
        <v>24072.49</v>
      </c>
      <c r="F21" s="2">
        <v>18012.21</v>
      </c>
      <c r="G21" s="2">
        <v>23624.87</v>
      </c>
      <c r="H21" t="s">
        <v>1</v>
      </c>
    </row>
    <row r="22" spans="1:8" x14ac:dyDescent="0.25">
      <c r="A22" t="s">
        <v>102</v>
      </c>
      <c r="B22" t="s">
        <v>72</v>
      </c>
      <c r="C22">
        <v>0</v>
      </c>
      <c r="D22">
        <v>0</v>
      </c>
      <c r="E22">
        <v>0</v>
      </c>
      <c r="F22">
        <v>0</v>
      </c>
      <c r="G22">
        <v>0</v>
      </c>
      <c r="H22" t="s">
        <v>1</v>
      </c>
    </row>
    <row r="23" spans="1:8" x14ac:dyDescent="0.25">
      <c r="B23" t="s">
        <v>73</v>
      </c>
      <c r="C23" s="2">
        <v>10726.44</v>
      </c>
      <c r="D23" s="2">
        <v>27125.46</v>
      </c>
      <c r="E23" s="2">
        <v>24072.49</v>
      </c>
      <c r="F23" s="2">
        <v>18012.21</v>
      </c>
      <c r="G23" s="2">
        <v>23624.87</v>
      </c>
      <c r="H23" t="s">
        <v>1</v>
      </c>
    </row>
    <row r="24" spans="1:8" x14ac:dyDescent="0.25">
      <c r="B24" t="s">
        <v>74</v>
      </c>
      <c r="H24" t="s">
        <v>1</v>
      </c>
    </row>
    <row r="25" spans="1:8" x14ac:dyDescent="0.25">
      <c r="B25" t="s">
        <v>75</v>
      </c>
      <c r="C25" s="2">
        <v>3706.66</v>
      </c>
      <c r="D25" s="2">
        <v>8887.44</v>
      </c>
      <c r="E25" s="2">
        <v>6139.96</v>
      </c>
      <c r="F25" s="2">
        <v>5379.53</v>
      </c>
      <c r="G25" s="2">
        <v>6237.86</v>
      </c>
      <c r="H25" t="s">
        <v>1</v>
      </c>
    </row>
    <row r="26" spans="1:8" x14ac:dyDescent="0.25">
      <c r="B26" t="s">
        <v>76</v>
      </c>
      <c r="C26">
        <v>0</v>
      </c>
      <c r="D26">
        <v>64.44</v>
      </c>
      <c r="E26">
        <v>-135.22999999999999</v>
      </c>
      <c r="F26">
        <v>0</v>
      </c>
      <c r="G26">
        <v>0</v>
      </c>
      <c r="H26" t="s">
        <v>1</v>
      </c>
    </row>
    <row r="27" spans="1:8" x14ac:dyDescent="0.25">
      <c r="B27" t="s">
        <v>77</v>
      </c>
      <c r="C27">
        <v>0</v>
      </c>
      <c r="D27">
        <v>1095.07</v>
      </c>
      <c r="E27" s="2">
        <v>1098.58</v>
      </c>
      <c r="F27" s="2">
        <v>-72.459999999999994</v>
      </c>
      <c r="G27">
        <v>0</v>
      </c>
      <c r="H27" t="s">
        <v>1</v>
      </c>
    </row>
    <row r="28" spans="1:8" x14ac:dyDescent="0.25">
      <c r="B28" t="s">
        <v>78</v>
      </c>
      <c r="C28">
        <v>0</v>
      </c>
      <c r="D28">
        <v>0</v>
      </c>
      <c r="E28">
        <v>0</v>
      </c>
      <c r="F28">
        <v>0</v>
      </c>
      <c r="G28">
        <v>0</v>
      </c>
      <c r="H28" t="s">
        <v>1</v>
      </c>
    </row>
    <row r="29" spans="1:8" x14ac:dyDescent="0.25">
      <c r="A29" t="s">
        <v>103</v>
      </c>
      <c r="B29" t="s">
        <v>79</v>
      </c>
      <c r="C29" s="2">
        <v>3706.66</v>
      </c>
      <c r="D29" s="2">
        <v>9662.4500000000007</v>
      </c>
      <c r="E29" s="2">
        <v>7370.98</v>
      </c>
      <c r="F29" s="2">
        <v>5307.07</v>
      </c>
      <c r="G29" s="2">
        <v>6237.86</v>
      </c>
      <c r="H29" t="s">
        <v>1</v>
      </c>
    </row>
    <row r="30" spans="1:8" x14ac:dyDescent="0.25">
      <c r="B30" t="s">
        <v>80</v>
      </c>
      <c r="C30" s="2">
        <v>7019.78</v>
      </c>
      <c r="D30" s="2">
        <v>17463.009999999998</v>
      </c>
      <c r="E30" s="2">
        <v>16701.509999999998</v>
      </c>
      <c r="F30" s="2">
        <v>12705.14</v>
      </c>
      <c r="G30" s="2">
        <v>17387.009999999998</v>
      </c>
      <c r="H30" t="s">
        <v>1</v>
      </c>
    </row>
    <row r="31" spans="1:8" x14ac:dyDescent="0.25">
      <c r="B31" t="s">
        <v>81</v>
      </c>
      <c r="C31" s="2">
        <v>7019.78</v>
      </c>
      <c r="D31" s="2">
        <v>17463.009999999998</v>
      </c>
      <c r="E31" s="2">
        <v>16701.509999999998</v>
      </c>
      <c r="F31" s="2">
        <v>12705.14</v>
      </c>
      <c r="G31" s="2">
        <v>17387.009999999998</v>
      </c>
      <c r="H31" t="s">
        <v>1</v>
      </c>
    </row>
    <row r="32" spans="1:8" x14ac:dyDescent="0.25">
      <c r="B32" t="s">
        <v>82</v>
      </c>
      <c r="C32" s="2">
        <v>7019.78</v>
      </c>
      <c r="D32" s="2">
        <v>17463.009999999998</v>
      </c>
      <c r="E32" s="2">
        <v>16701.509999999998</v>
      </c>
      <c r="F32" s="2">
        <v>12705.14</v>
      </c>
      <c r="G32" s="2">
        <v>17387.009999999998</v>
      </c>
      <c r="H32" t="s">
        <v>1</v>
      </c>
    </row>
    <row r="33" spans="1:8" x14ac:dyDescent="0.25">
      <c r="B33" t="s">
        <v>10</v>
      </c>
      <c r="C33">
        <v>0.12</v>
      </c>
      <c r="D33">
        <v>-0.33</v>
      </c>
      <c r="E33">
        <v>13.85</v>
      </c>
      <c r="F33">
        <v>-2.2799999999999998</v>
      </c>
      <c r="G33">
        <v>-20.32</v>
      </c>
      <c r="H33" t="s">
        <v>1</v>
      </c>
    </row>
    <row r="34" spans="1:8" x14ac:dyDescent="0.25">
      <c r="B34" t="s">
        <v>83</v>
      </c>
      <c r="C34" s="2">
        <v>7020.34</v>
      </c>
      <c r="D34" s="2">
        <v>17461.849999999999</v>
      </c>
      <c r="E34" s="2">
        <v>16714.189999999999</v>
      </c>
      <c r="F34" s="2">
        <v>12699.89</v>
      </c>
      <c r="G34" s="2">
        <v>17358.099999999999</v>
      </c>
      <c r="H34" t="s">
        <v>1</v>
      </c>
    </row>
    <row r="35" spans="1:8" x14ac:dyDescent="0.25">
      <c r="B35" t="s">
        <v>44</v>
      </c>
      <c r="H35" t="s">
        <v>1</v>
      </c>
    </row>
    <row r="36" spans="1:8" x14ac:dyDescent="0.25">
      <c r="B36" t="s">
        <v>84</v>
      </c>
      <c r="H36" t="s">
        <v>1</v>
      </c>
    </row>
    <row r="37" spans="1:8" x14ac:dyDescent="0.25">
      <c r="B37" t="s">
        <v>85</v>
      </c>
      <c r="C37">
        <v>11</v>
      </c>
      <c r="D37">
        <v>28</v>
      </c>
      <c r="E37">
        <v>27</v>
      </c>
      <c r="F37">
        <v>21</v>
      </c>
      <c r="G37">
        <v>28</v>
      </c>
      <c r="H37" t="s">
        <v>1</v>
      </c>
    </row>
    <row r="38" spans="1:8" x14ac:dyDescent="0.25">
      <c r="B38" t="s">
        <v>86</v>
      </c>
      <c r="C38">
        <v>11</v>
      </c>
      <c r="D38">
        <v>28</v>
      </c>
      <c r="E38">
        <v>27</v>
      </c>
      <c r="F38">
        <v>21</v>
      </c>
      <c r="G38">
        <v>28</v>
      </c>
      <c r="H38" t="s">
        <v>1</v>
      </c>
    </row>
    <row r="39" spans="1:8" x14ac:dyDescent="0.25">
      <c r="B39" t="s">
        <v>87</v>
      </c>
      <c r="H39" t="s">
        <v>1</v>
      </c>
    </row>
    <row r="40" spans="1:8" x14ac:dyDescent="0.25">
      <c r="A40" t="s">
        <v>104</v>
      </c>
      <c r="B40" t="s">
        <v>88</v>
      </c>
      <c r="C40">
        <v>10242.24</v>
      </c>
      <c r="D40" s="2">
        <v>8105.58</v>
      </c>
      <c r="E40" s="2">
        <v>7395.27</v>
      </c>
      <c r="F40" s="2">
        <v>7703.44</v>
      </c>
      <c r="G40" s="2">
        <v>0</v>
      </c>
      <c r="H40" t="s">
        <v>1</v>
      </c>
    </row>
    <row r="41" spans="1:8" x14ac:dyDescent="0.25">
      <c r="A41" t="s">
        <v>104</v>
      </c>
      <c r="B41" t="s">
        <v>89</v>
      </c>
      <c r="C41">
        <v>2081.5700000000002</v>
      </c>
      <c r="D41">
        <v>1833.86</v>
      </c>
      <c r="E41" s="2">
        <v>2282.08</v>
      </c>
      <c r="F41" s="2">
        <v>0</v>
      </c>
      <c r="G41" s="2">
        <v>0</v>
      </c>
      <c r="H41" t="s">
        <v>1</v>
      </c>
    </row>
  </sheetData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F3AE9A-C78C-412C-8E66-B15C9E6F6769}">
  <dimension ref="B3:G8"/>
  <sheetViews>
    <sheetView showGridLines="0" workbookViewId="0">
      <selection activeCell="B8" sqref="B8"/>
    </sheetView>
  </sheetViews>
  <sheetFormatPr defaultRowHeight="15" x14ac:dyDescent="0.25"/>
  <cols>
    <col min="2" max="2" width="33.5703125" bestFit="1" customWidth="1"/>
    <col min="3" max="3" width="11.5703125" bestFit="1" customWidth="1"/>
    <col min="4" max="7" width="13.140625" bestFit="1" customWidth="1"/>
  </cols>
  <sheetData>
    <row r="3" spans="2:7" ht="18.75" x14ac:dyDescent="0.25">
      <c r="B3" s="13" t="s">
        <v>144</v>
      </c>
      <c r="C3" s="13">
        <v>2018</v>
      </c>
      <c r="D3" s="13">
        <v>2019</v>
      </c>
      <c r="E3" s="13">
        <v>2020</v>
      </c>
      <c r="F3" s="13">
        <v>2021</v>
      </c>
      <c r="G3" s="13">
        <v>2022</v>
      </c>
    </row>
    <row r="5" spans="2:7" ht="18.75" x14ac:dyDescent="0.25">
      <c r="B5" s="14" t="s">
        <v>172</v>
      </c>
      <c r="C5" s="14"/>
      <c r="D5" s="14"/>
      <c r="E5" s="14"/>
      <c r="F5" s="14"/>
      <c r="G5" s="14"/>
    </row>
    <row r="6" spans="2:7" ht="18.75" x14ac:dyDescent="0.25">
      <c r="B6" s="15" t="str">
        <f>'Income Statement'!B19</f>
        <v>PBIT</v>
      </c>
      <c r="C6" s="16">
        <f>'Income Statement'!C19</f>
        <v>9048.440000000006</v>
      </c>
      <c r="D6" s="16">
        <f>'Income Statement'!D19</f>
        <v>21721.649999999994</v>
      </c>
      <c r="E6" s="16">
        <f>'Income Statement'!E19</f>
        <v>17033.429999999989</v>
      </c>
      <c r="F6" s="16">
        <f>'Income Statement'!F19</f>
        <v>10314.420000000011</v>
      </c>
      <c r="G6" s="16">
        <f>'Income Statement'!G19</f>
        <v>26578.410000000003</v>
      </c>
    </row>
    <row r="7" spans="2:7" ht="18.75" x14ac:dyDescent="0.25">
      <c r="B7" s="15" t="str">
        <f>'Income Statement'!B20</f>
        <v>Finance Costs</v>
      </c>
      <c r="C7" s="16">
        <f>'Income Statement'!C20</f>
        <v>431.79</v>
      </c>
      <c r="D7" s="16">
        <f>'Income Statement'!D20</f>
        <v>275.04000000000002</v>
      </c>
      <c r="E7" s="16">
        <f>'Income Statement'!E20</f>
        <v>502.92</v>
      </c>
      <c r="F7" s="16">
        <f>'Income Statement'!F20</f>
        <v>644.69000000000005</v>
      </c>
      <c r="G7" s="16">
        <f>'Income Statement'!G20</f>
        <v>541.49</v>
      </c>
    </row>
    <row r="8" spans="2:7" ht="18.75" x14ac:dyDescent="0.25">
      <c r="B8" s="17" t="s">
        <v>173</v>
      </c>
      <c r="C8" s="17">
        <f>ROUND(C6/C7, 2)</f>
        <v>20.96</v>
      </c>
      <c r="D8" s="17">
        <f t="shared" ref="D8:G8" si="0">ROUND(D6/D7, 2)</f>
        <v>78.98</v>
      </c>
      <c r="E8" s="17">
        <f t="shared" si="0"/>
        <v>33.869999999999997</v>
      </c>
      <c r="F8" s="17">
        <f t="shared" si="0"/>
        <v>16</v>
      </c>
      <c r="G8" s="17">
        <f t="shared" si="0"/>
        <v>49.08</v>
      </c>
    </row>
  </sheetData>
  <mergeCells count="1">
    <mergeCell ref="B5:G5"/>
  </mergeCells>
  <pageMargins left="0.7" right="0.7" top="0.75" bottom="0.75" header="0.3" footer="0.3"/>
  <drawing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4B6E62-515F-4342-824E-948B08E0033B}">
  <dimension ref="B3:G8"/>
  <sheetViews>
    <sheetView showGridLines="0" workbookViewId="0">
      <selection activeCell="B8" sqref="B8"/>
    </sheetView>
  </sheetViews>
  <sheetFormatPr defaultRowHeight="15" x14ac:dyDescent="0.25"/>
  <cols>
    <col min="2" max="2" width="40.42578125" bestFit="1" customWidth="1"/>
    <col min="3" max="6" width="13.140625" bestFit="1" customWidth="1"/>
    <col min="7" max="7" width="14.85546875" bestFit="1" customWidth="1"/>
  </cols>
  <sheetData>
    <row r="3" spans="2:7" ht="18.75" x14ac:dyDescent="0.25">
      <c r="B3" s="13" t="s">
        <v>144</v>
      </c>
      <c r="C3" s="13">
        <v>2018</v>
      </c>
      <c r="D3" s="13">
        <v>2019</v>
      </c>
      <c r="E3" s="13">
        <v>2020</v>
      </c>
      <c r="F3" s="13">
        <v>2021</v>
      </c>
      <c r="G3" s="13">
        <v>2022</v>
      </c>
    </row>
    <row r="5" spans="2:7" ht="18.75" x14ac:dyDescent="0.25">
      <c r="B5" s="14" t="s">
        <v>174</v>
      </c>
      <c r="C5" s="14"/>
      <c r="D5" s="14"/>
      <c r="E5" s="14"/>
      <c r="F5" s="14"/>
      <c r="G5" s="14"/>
    </row>
    <row r="6" spans="2:7" ht="18.75" x14ac:dyDescent="0.25">
      <c r="B6" s="15" t="str">
        <f>'Income Statement'!B11</f>
        <v>Cost Of Materials Consumed</v>
      </c>
      <c r="C6" s="16">
        <f>'Income Statement'!C11</f>
        <v>9345.99</v>
      </c>
      <c r="D6" s="16">
        <f>'Income Statement'!D11</f>
        <v>9774.51</v>
      </c>
      <c r="E6" s="16">
        <f>'Income Statement'!E11</f>
        <v>9552.7800000000007</v>
      </c>
      <c r="F6" s="16">
        <f>'Income Statement'!F11</f>
        <v>10123.540000000001</v>
      </c>
      <c r="G6" s="16">
        <f>'Income Statement'!G11</f>
        <v>9442.18</v>
      </c>
    </row>
    <row r="7" spans="2:7" ht="18.75" x14ac:dyDescent="0.25">
      <c r="B7" s="15" t="str">
        <f>'Income Statement'!B7</f>
        <v>Net Sales</v>
      </c>
      <c r="C7" s="16">
        <f>'Income Statement'!C7</f>
        <v>81700</v>
      </c>
      <c r="D7" s="16">
        <f>'Income Statement'!D7</f>
        <v>92896.08</v>
      </c>
      <c r="E7" s="16">
        <f>'Income Statement'!E7</f>
        <v>89373.34</v>
      </c>
      <c r="F7" s="16">
        <f>'Income Statement'!F7</f>
        <v>82710.320000000007</v>
      </c>
      <c r="G7" s="16">
        <f>'Income Statement'!G7</f>
        <v>109713.5</v>
      </c>
    </row>
    <row r="8" spans="2:7" ht="18.75" x14ac:dyDescent="0.25">
      <c r="B8" s="17" t="s">
        <v>175</v>
      </c>
      <c r="C8" s="17">
        <f>ROUND(C6/C7, 2)</f>
        <v>0.11</v>
      </c>
      <c r="D8" s="17">
        <f t="shared" ref="D8:G8" si="0">ROUND(D6/D7, 2)</f>
        <v>0.11</v>
      </c>
      <c r="E8" s="17">
        <f t="shared" si="0"/>
        <v>0.11</v>
      </c>
      <c r="F8" s="17">
        <f t="shared" si="0"/>
        <v>0.12</v>
      </c>
      <c r="G8" s="17">
        <f t="shared" si="0"/>
        <v>0.09</v>
      </c>
    </row>
  </sheetData>
  <mergeCells count="1">
    <mergeCell ref="B5:G5"/>
  </mergeCells>
  <pageMargins left="0.7" right="0.7" top="0.75" bottom="0.75" header="0.3" footer="0.3"/>
  <drawing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8D1B31-4536-4867-B478-6535BC984BE6}">
  <dimension ref="B3:G8"/>
  <sheetViews>
    <sheetView showGridLines="0" workbookViewId="0">
      <selection activeCell="B8" sqref="B8"/>
    </sheetView>
  </sheetViews>
  <sheetFormatPr defaultRowHeight="15" x14ac:dyDescent="0.25"/>
  <cols>
    <col min="2" max="2" width="40.42578125" bestFit="1" customWidth="1"/>
    <col min="3" max="7" width="13.140625" bestFit="1" customWidth="1"/>
  </cols>
  <sheetData>
    <row r="3" spans="2:7" ht="18.75" x14ac:dyDescent="0.25">
      <c r="B3" s="13" t="s">
        <v>144</v>
      </c>
      <c r="C3" s="13">
        <v>2018</v>
      </c>
      <c r="D3" s="13">
        <v>2019</v>
      </c>
      <c r="E3" s="13">
        <v>2020</v>
      </c>
      <c r="F3" s="13">
        <v>2021</v>
      </c>
      <c r="G3" s="13">
        <v>2022</v>
      </c>
    </row>
    <row r="5" spans="2:7" ht="18.75" x14ac:dyDescent="0.25">
      <c r="B5" s="14" t="s">
        <v>176</v>
      </c>
      <c r="C5" s="14"/>
      <c r="D5" s="14"/>
      <c r="E5" s="14"/>
      <c r="F5" s="14"/>
      <c r="G5" s="14"/>
    </row>
    <row r="6" spans="2:7" ht="18.75" x14ac:dyDescent="0.25">
      <c r="B6" s="15" t="str">
        <f>'Balance Sheet'!B38</f>
        <v>Cash And Cash Equivalents</v>
      </c>
      <c r="C6" s="16">
        <f>'Balance Sheet'!C38</f>
        <v>31475.07</v>
      </c>
      <c r="D6" s="16">
        <f>'Balance Sheet'!D38</f>
        <v>33842.689999999988</v>
      </c>
      <c r="E6" s="16">
        <f>'Balance Sheet'!E38</f>
        <v>28822.309999999983</v>
      </c>
      <c r="F6" s="16">
        <f>'Balance Sheet'!F38</f>
        <v>13883.05</v>
      </c>
      <c r="G6" s="16">
        <f>'Balance Sheet'!G38</f>
        <v>38662.270000000004</v>
      </c>
    </row>
    <row r="7" spans="2:7" ht="18.75" x14ac:dyDescent="0.25">
      <c r="B7" s="15" t="str">
        <f>'Income Statement'!B11</f>
        <v>Cost Of Materials Consumed</v>
      </c>
      <c r="C7" s="16">
        <f>'Income Statement'!C11</f>
        <v>9345.99</v>
      </c>
      <c r="D7" s="16">
        <f>'Income Statement'!D11</f>
        <v>9774.51</v>
      </c>
      <c r="E7" s="16">
        <f>'Income Statement'!E11</f>
        <v>9552.7800000000007</v>
      </c>
      <c r="F7" s="16">
        <f>'Income Statement'!F11</f>
        <v>10123.540000000001</v>
      </c>
      <c r="G7" s="16">
        <f>'Income Statement'!G11</f>
        <v>9442.18</v>
      </c>
    </row>
    <row r="8" spans="2:7" ht="18.75" x14ac:dyDescent="0.25">
      <c r="B8" s="17" t="s">
        <v>177</v>
      </c>
      <c r="C8" s="17">
        <f>ROUND(C6/C7*365, 2)</f>
        <v>1229.23</v>
      </c>
      <c r="D8" s="17">
        <f t="shared" ref="D8:G8" si="0">ROUND(D6/D7*365, 2)</f>
        <v>1263.75</v>
      </c>
      <c r="E8" s="17">
        <f t="shared" si="0"/>
        <v>1101.27</v>
      </c>
      <c r="F8" s="17">
        <f t="shared" si="0"/>
        <v>500.55</v>
      </c>
      <c r="G8" s="17">
        <f t="shared" si="0"/>
        <v>1494.54</v>
      </c>
    </row>
  </sheetData>
  <mergeCells count="1">
    <mergeCell ref="B5:G5"/>
  </mergeCells>
  <pageMargins left="0.7" right="0.7" top="0.75" bottom="0.75" header="0.3" footer="0.3"/>
  <drawing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CF9724-261D-4E51-A78C-B392E706F925}">
  <dimension ref="B3:G8"/>
  <sheetViews>
    <sheetView showGridLines="0" workbookViewId="0">
      <selection activeCell="B8" sqref="B8:G8"/>
    </sheetView>
  </sheetViews>
  <sheetFormatPr defaultRowHeight="15" x14ac:dyDescent="0.25"/>
  <cols>
    <col min="2" max="2" width="39" bestFit="1" customWidth="1"/>
    <col min="3" max="7" width="14" bestFit="1" customWidth="1"/>
  </cols>
  <sheetData>
    <row r="3" spans="2:7" ht="18.75" x14ac:dyDescent="0.25">
      <c r="B3" s="13" t="s">
        <v>144</v>
      </c>
      <c r="C3" s="13">
        <v>2018</v>
      </c>
      <c r="D3" s="13">
        <v>2019</v>
      </c>
      <c r="E3" s="13">
        <v>2020</v>
      </c>
      <c r="F3" s="13">
        <v>2021</v>
      </c>
      <c r="G3" s="13">
        <v>2022</v>
      </c>
    </row>
    <row r="5" spans="2:7" ht="18.75" x14ac:dyDescent="0.25">
      <c r="B5" s="14" t="s">
        <v>178</v>
      </c>
      <c r="C5" s="14"/>
      <c r="D5" s="14"/>
      <c r="E5" s="14"/>
      <c r="F5" s="14"/>
      <c r="G5" s="14"/>
    </row>
    <row r="6" spans="2:7" ht="18.75" x14ac:dyDescent="0.25">
      <c r="B6" s="15" t="str">
        <f>'Balance Sheet'!B38</f>
        <v>Cash And Cash Equivalents</v>
      </c>
      <c r="C6" s="16">
        <f>'Balance Sheet'!C38</f>
        <v>31475.07</v>
      </c>
      <c r="D6" s="16">
        <f>'Balance Sheet'!D38</f>
        <v>33842.689999999988</v>
      </c>
      <c r="E6" s="16">
        <f>'Balance Sheet'!E38</f>
        <v>28822.309999999983</v>
      </c>
      <c r="F6" s="16">
        <f>'Balance Sheet'!F38</f>
        <v>13883.05</v>
      </c>
      <c r="G6" s="16">
        <f>'Balance Sheet'!G38</f>
        <v>38662.270000000004</v>
      </c>
    </row>
    <row r="7" spans="2:7" ht="18.75" x14ac:dyDescent="0.25">
      <c r="B7" s="15" t="s">
        <v>179</v>
      </c>
      <c r="C7" s="16">
        <v>365</v>
      </c>
      <c r="D7" s="16">
        <v>365</v>
      </c>
      <c r="E7" s="16">
        <v>365</v>
      </c>
      <c r="F7" s="16">
        <v>365</v>
      </c>
      <c r="G7" s="16">
        <v>365</v>
      </c>
    </row>
    <row r="8" spans="2:7" ht="18.75" x14ac:dyDescent="0.25">
      <c r="B8" s="17" t="s">
        <v>180</v>
      </c>
      <c r="C8" s="17">
        <f>ROUND(C6/C7*365, 2)</f>
        <v>31475.07</v>
      </c>
      <c r="D8" s="17">
        <f t="shared" ref="D8:G8" si="0">ROUND(D6/D7*365, 2)</f>
        <v>33842.69</v>
      </c>
      <c r="E8" s="17">
        <f t="shared" si="0"/>
        <v>28822.31</v>
      </c>
      <c r="F8" s="17">
        <f t="shared" si="0"/>
        <v>13883.05</v>
      </c>
      <c r="G8" s="17">
        <f t="shared" si="0"/>
        <v>38662.269999999997</v>
      </c>
    </row>
  </sheetData>
  <mergeCells count="1">
    <mergeCell ref="B5:G5"/>
  </mergeCells>
  <pageMargins left="0.7" right="0.7" top="0.75" bottom="0.75" header="0.3" footer="0.3"/>
  <drawing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236BB6-9778-4C3C-AC1F-FC27A300898B}">
  <dimension ref="B3:G8"/>
  <sheetViews>
    <sheetView showGridLines="0" workbookViewId="0">
      <selection activeCell="B8" sqref="B8"/>
    </sheetView>
  </sheetViews>
  <sheetFormatPr defaultRowHeight="15" x14ac:dyDescent="0.25"/>
  <cols>
    <col min="2" max="2" width="31" bestFit="1" customWidth="1"/>
    <col min="3" max="7" width="14.85546875" bestFit="1" customWidth="1"/>
  </cols>
  <sheetData>
    <row r="3" spans="2:7" ht="18.75" x14ac:dyDescent="0.25">
      <c r="B3" s="13" t="s">
        <v>144</v>
      </c>
      <c r="C3" s="13">
        <v>2018</v>
      </c>
      <c r="D3" s="13">
        <v>2019</v>
      </c>
      <c r="E3" s="13">
        <v>2020</v>
      </c>
      <c r="F3" s="13">
        <v>2021</v>
      </c>
      <c r="G3" s="13">
        <v>2022</v>
      </c>
    </row>
    <row r="5" spans="2:7" ht="18.75" x14ac:dyDescent="0.25">
      <c r="B5" s="14" t="s">
        <v>181</v>
      </c>
      <c r="C5" s="14"/>
      <c r="D5" s="14"/>
      <c r="E5" s="14"/>
      <c r="F5" s="14"/>
      <c r="G5" s="14"/>
    </row>
    <row r="6" spans="2:7" ht="18.75" x14ac:dyDescent="0.25">
      <c r="B6" s="15" t="str">
        <f>'Income Statement'!B5</f>
        <v>Gross Sales</v>
      </c>
      <c r="C6" s="16">
        <f>'Income Statement'!C5</f>
        <v>127162.17</v>
      </c>
      <c r="D6" s="16">
        <f>'Income Statement'!D5</f>
        <v>140603</v>
      </c>
      <c r="E6" s="16">
        <f>'Income Statement'!E5</f>
        <v>134979.13</v>
      </c>
      <c r="F6" s="16">
        <f>'Income Statement'!F5</f>
        <v>126786.13</v>
      </c>
      <c r="G6" s="16">
        <f>'Income Statement'!G5</f>
        <v>109713.5</v>
      </c>
    </row>
    <row r="7" spans="2:7" ht="18.75" x14ac:dyDescent="0.25">
      <c r="B7" s="15" t="str">
        <f>'Balance Sheet'!B40</f>
        <v>Total Assets</v>
      </c>
      <c r="C7" s="16">
        <f>'Balance Sheet'!C40</f>
        <v>127491.72999999998</v>
      </c>
      <c r="D7" s="16">
        <f>'Balance Sheet'!D40</f>
        <v>127911.51999999999</v>
      </c>
      <c r="E7" s="16">
        <f>'Balance Sheet'!E40</f>
        <v>139299.34999999998</v>
      </c>
      <c r="F7" s="16">
        <f>'Balance Sheet'!F40</f>
        <v>143050.34</v>
      </c>
      <c r="G7" s="16">
        <f>'Balance Sheet'!G40</f>
        <v>174687.35999999999</v>
      </c>
    </row>
    <row r="8" spans="2:7" ht="18.75" x14ac:dyDescent="0.25">
      <c r="B8" s="17" t="s">
        <v>182</v>
      </c>
      <c r="C8" s="17">
        <f>ROUND(C6/C7, 2)</f>
        <v>1</v>
      </c>
      <c r="D8" s="17">
        <f t="shared" ref="D8:G8" si="0">ROUND(D6/D7, 2)</f>
        <v>1.1000000000000001</v>
      </c>
      <c r="E8" s="17">
        <f t="shared" si="0"/>
        <v>0.97</v>
      </c>
      <c r="F8" s="17">
        <f t="shared" si="0"/>
        <v>0.89</v>
      </c>
      <c r="G8" s="17">
        <f t="shared" si="0"/>
        <v>0.63</v>
      </c>
    </row>
  </sheetData>
  <mergeCells count="1">
    <mergeCell ref="B5:G5"/>
  </mergeCells>
  <pageMargins left="0.7" right="0.7" top="0.75" bottom="0.75" header="0.3" footer="0.3"/>
  <drawing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BDA4E5-B062-4ABA-BD97-64F8057C4786}">
  <dimension ref="B3:G8"/>
  <sheetViews>
    <sheetView showGridLines="0" workbookViewId="0">
      <selection activeCell="B8" sqref="B8"/>
    </sheetView>
  </sheetViews>
  <sheetFormatPr defaultRowHeight="15" x14ac:dyDescent="0.25"/>
  <cols>
    <col min="2" max="2" width="37" bestFit="1" customWidth="1"/>
    <col min="3" max="7" width="14.85546875" bestFit="1" customWidth="1"/>
  </cols>
  <sheetData>
    <row r="3" spans="2:7" ht="18.75" x14ac:dyDescent="0.25">
      <c r="B3" s="13" t="s">
        <v>144</v>
      </c>
      <c r="C3" s="13">
        <v>2018</v>
      </c>
      <c r="D3" s="13">
        <v>2019</v>
      </c>
      <c r="E3" s="13">
        <v>2020</v>
      </c>
      <c r="F3" s="13">
        <v>2021</v>
      </c>
      <c r="G3" s="13">
        <v>2022</v>
      </c>
    </row>
    <row r="5" spans="2:7" ht="18.75" x14ac:dyDescent="0.25">
      <c r="B5" s="14" t="s">
        <v>183</v>
      </c>
      <c r="C5" s="14"/>
      <c r="D5" s="14"/>
      <c r="E5" s="14"/>
      <c r="F5" s="14"/>
      <c r="G5" s="14"/>
    </row>
    <row r="6" spans="2:7" ht="18.75" x14ac:dyDescent="0.25">
      <c r="B6" s="15" t="str">
        <f>'Income Statement'!B5</f>
        <v>Gross Sales</v>
      </c>
      <c r="C6" s="16">
        <f>'Income Statement'!C5</f>
        <v>127162.17</v>
      </c>
      <c r="D6" s="16">
        <f>'Income Statement'!D5</f>
        <v>140603</v>
      </c>
      <c r="E6" s="16">
        <f>'Income Statement'!E5</f>
        <v>134979.13</v>
      </c>
      <c r="F6" s="16">
        <f>'Income Statement'!F5</f>
        <v>126786.13</v>
      </c>
      <c r="G6" s="16">
        <f>'Income Statement'!G5</f>
        <v>109713.5</v>
      </c>
    </row>
    <row r="7" spans="2:7" ht="18.75" x14ac:dyDescent="0.25">
      <c r="B7" s="15" t="str">
        <f>'Balance Sheet'!B36</f>
        <v>Inventories</v>
      </c>
      <c r="C7" s="16">
        <f>'Balance Sheet'!C36</f>
        <v>6443.85</v>
      </c>
      <c r="D7" s="16">
        <f>'Balance Sheet'!D36</f>
        <v>5583.93</v>
      </c>
      <c r="E7" s="16">
        <f>'Balance Sheet'!E36</f>
        <v>6617.98</v>
      </c>
      <c r="F7" s="16">
        <f>'Balance Sheet'!F36</f>
        <v>8947.4699999999993</v>
      </c>
      <c r="G7" s="16">
        <f>'Balance Sheet'!G36</f>
        <v>7075.68</v>
      </c>
    </row>
    <row r="8" spans="2:7" ht="18.75" x14ac:dyDescent="0.25">
      <c r="B8" s="17" t="s">
        <v>184</v>
      </c>
      <c r="C8" s="17">
        <f>ROUND(C6/C7, 2)</f>
        <v>19.73</v>
      </c>
      <c r="D8" s="17">
        <f t="shared" ref="D8:G8" si="0">ROUND(D6/D7, 2)</f>
        <v>25.18</v>
      </c>
      <c r="E8" s="17">
        <f t="shared" si="0"/>
        <v>20.399999999999999</v>
      </c>
      <c r="F8" s="17">
        <f t="shared" si="0"/>
        <v>14.17</v>
      </c>
      <c r="G8" s="17">
        <f t="shared" si="0"/>
        <v>15.51</v>
      </c>
    </row>
  </sheetData>
  <mergeCells count="1">
    <mergeCell ref="B5:G5"/>
  </mergeCells>
  <pageMargins left="0.7" right="0.7" top="0.75" bottom="0.75" header="0.3" footer="0.3"/>
  <drawing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E469B6-8BDE-40C0-9CFF-A7538DF7C77D}">
  <dimension ref="B3:G8"/>
  <sheetViews>
    <sheetView showGridLines="0" workbookViewId="0">
      <selection activeCell="B8" sqref="B8"/>
    </sheetView>
  </sheetViews>
  <sheetFormatPr defaultRowHeight="15" x14ac:dyDescent="0.25"/>
  <cols>
    <col min="2" max="2" width="34.42578125" bestFit="1" customWidth="1"/>
    <col min="3" max="7" width="14.85546875" bestFit="1" customWidth="1"/>
  </cols>
  <sheetData>
    <row r="3" spans="2:7" ht="18.75" x14ac:dyDescent="0.25">
      <c r="B3" s="13" t="s">
        <v>144</v>
      </c>
      <c r="C3" s="13">
        <v>2018</v>
      </c>
      <c r="D3" s="13">
        <v>2019</v>
      </c>
      <c r="E3" s="13">
        <v>2020</v>
      </c>
      <c r="F3" s="13">
        <v>2021</v>
      </c>
      <c r="G3" s="13">
        <v>2022</v>
      </c>
    </row>
    <row r="5" spans="2:7" ht="18.75" x14ac:dyDescent="0.25">
      <c r="B5" s="14" t="s">
        <v>185</v>
      </c>
      <c r="C5" s="14"/>
      <c r="D5" s="14"/>
      <c r="E5" s="14"/>
      <c r="F5" s="14"/>
      <c r="G5" s="14"/>
    </row>
    <row r="6" spans="2:7" ht="18.75" x14ac:dyDescent="0.25">
      <c r="B6" s="15" t="str">
        <f>'Income Statement'!B5</f>
        <v>Gross Sales</v>
      </c>
      <c r="C6" s="16">
        <f>'Income Statement'!C5</f>
        <v>127162.17</v>
      </c>
      <c r="D6" s="16">
        <f>'Income Statement'!D5</f>
        <v>140603</v>
      </c>
      <c r="E6" s="16">
        <f>'Income Statement'!E5</f>
        <v>134979.13</v>
      </c>
      <c r="F6" s="16">
        <f>'Income Statement'!F5</f>
        <v>126786.13</v>
      </c>
      <c r="G6" s="16">
        <f>'Income Statement'!G5</f>
        <v>109713.5</v>
      </c>
    </row>
    <row r="7" spans="2:7" ht="18.75" x14ac:dyDescent="0.25">
      <c r="B7" s="15" t="str">
        <f>'Balance Sheet'!B37</f>
        <v>Trade Receivables</v>
      </c>
      <c r="C7" s="16">
        <f>'Balance Sheet'!C37</f>
        <v>8689.16</v>
      </c>
      <c r="D7" s="16">
        <f>'Balance Sheet'!D37</f>
        <v>5498.55</v>
      </c>
      <c r="E7" s="16">
        <f>'Balance Sheet'!E37</f>
        <v>14408.22</v>
      </c>
      <c r="F7" s="16">
        <f>'Balance Sheet'!F37</f>
        <v>19623.12</v>
      </c>
      <c r="G7" s="16">
        <f>'Balance Sheet'!G37</f>
        <v>11367.68</v>
      </c>
    </row>
    <row r="8" spans="2:7" ht="18.75" x14ac:dyDescent="0.25">
      <c r="B8" s="17" t="s">
        <v>186</v>
      </c>
      <c r="C8" s="17">
        <f>ROUND(C6/C7, 2)</f>
        <v>14.63</v>
      </c>
      <c r="D8" s="17">
        <f t="shared" ref="D8:G8" si="0">ROUND(D6/D7, 2)</f>
        <v>25.57</v>
      </c>
      <c r="E8" s="17">
        <f t="shared" si="0"/>
        <v>9.3699999999999992</v>
      </c>
      <c r="F8" s="17">
        <f t="shared" si="0"/>
        <v>6.46</v>
      </c>
      <c r="G8" s="17">
        <f t="shared" si="0"/>
        <v>9.65</v>
      </c>
    </row>
  </sheetData>
  <mergeCells count="1">
    <mergeCell ref="B5:G5"/>
  </mergeCells>
  <pageMargins left="0.7" right="0.7" top="0.75" bottom="0.75" header="0.3" footer="0.3"/>
  <drawing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AE21B2-CE4B-4E3B-9AAA-EEC5478E4C9C}">
  <dimension ref="B3:G8"/>
  <sheetViews>
    <sheetView showGridLines="0" workbookViewId="0">
      <selection activeCell="B8" sqref="B8:G8"/>
    </sheetView>
  </sheetViews>
  <sheetFormatPr defaultRowHeight="15" x14ac:dyDescent="0.25"/>
  <cols>
    <col min="2" max="2" width="40.7109375" bestFit="1" customWidth="1"/>
    <col min="3" max="7" width="14.85546875" bestFit="1" customWidth="1"/>
  </cols>
  <sheetData>
    <row r="3" spans="2:7" ht="18.75" x14ac:dyDescent="0.25">
      <c r="B3" s="13" t="s">
        <v>144</v>
      </c>
      <c r="C3" s="13">
        <v>2018</v>
      </c>
      <c r="D3" s="13">
        <v>2019</v>
      </c>
      <c r="E3" s="13">
        <v>2020</v>
      </c>
      <c r="F3" s="13">
        <v>2021</v>
      </c>
      <c r="G3" s="13">
        <v>2022</v>
      </c>
    </row>
    <row r="5" spans="2:7" ht="18.75" x14ac:dyDescent="0.25">
      <c r="B5" s="14" t="s">
        <v>187</v>
      </c>
      <c r="C5" s="14"/>
      <c r="D5" s="14"/>
      <c r="E5" s="14"/>
      <c r="F5" s="14"/>
      <c r="G5" s="14"/>
    </row>
    <row r="6" spans="2:7" ht="18.75" x14ac:dyDescent="0.25">
      <c r="B6" s="15" t="str">
        <f>'Income Statement'!B5</f>
        <v>Gross Sales</v>
      </c>
      <c r="C6" s="16">
        <f>'Income Statement'!C5</f>
        <v>127162.17</v>
      </c>
      <c r="D6" s="16">
        <f>'Income Statement'!D5</f>
        <v>140603</v>
      </c>
      <c r="E6" s="16">
        <f>'Income Statement'!E5</f>
        <v>134979.13</v>
      </c>
      <c r="F6" s="16">
        <f>'Income Statement'!F5</f>
        <v>126786.13</v>
      </c>
      <c r="G6" s="16">
        <f>'Income Statement'!G5</f>
        <v>109713.5</v>
      </c>
    </row>
    <row r="7" spans="2:7" ht="18.75" x14ac:dyDescent="0.25">
      <c r="B7" s="15" t="str">
        <f>'Balance Sheet'!B23</f>
        <v>Tangible Assets</v>
      </c>
      <c r="C7" s="16">
        <f>'Balance Sheet'!C23</f>
        <v>24063.3</v>
      </c>
      <c r="D7" s="16">
        <f>'Balance Sheet'!D23</f>
        <v>28539.06</v>
      </c>
      <c r="E7" s="16">
        <f>'Balance Sheet'!E23</f>
        <v>32302.35</v>
      </c>
      <c r="F7" s="16">
        <f>'Balance Sheet'!F23</f>
        <v>37753.65</v>
      </c>
      <c r="G7" s="16">
        <f>'Balance Sheet'!G23</f>
        <v>59574.1</v>
      </c>
    </row>
    <row r="8" spans="2:7" ht="18.75" x14ac:dyDescent="0.25">
      <c r="B8" s="17" t="s">
        <v>188</v>
      </c>
      <c r="C8" s="17">
        <f>ROUND(C6/C7, 2)</f>
        <v>5.28</v>
      </c>
      <c r="D8" s="17">
        <f t="shared" ref="D8:G8" si="0">ROUND(D6/D7, 2)</f>
        <v>4.93</v>
      </c>
      <c r="E8" s="17">
        <f t="shared" si="0"/>
        <v>4.18</v>
      </c>
      <c r="F8" s="17">
        <f t="shared" si="0"/>
        <v>3.36</v>
      </c>
      <c r="G8" s="17">
        <f t="shared" si="0"/>
        <v>1.84</v>
      </c>
    </row>
  </sheetData>
  <mergeCells count="1">
    <mergeCell ref="B5:G5"/>
  </mergeCells>
  <pageMargins left="0.7" right="0.7" top="0.75" bottom="0.75" header="0.3" footer="0.3"/>
  <drawing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C3ED19-8D2D-4717-B298-53D01DCC53B9}">
  <dimension ref="B3:G8"/>
  <sheetViews>
    <sheetView showGridLines="0" workbookViewId="0">
      <selection activeCell="B8" sqref="B8:G8"/>
    </sheetView>
  </sheetViews>
  <sheetFormatPr defaultRowHeight="15" x14ac:dyDescent="0.25"/>
  <cols>
    <col min="2" max="2" width="40.42578125" bestFit="1" customWidth="1"/>
    <col min="3" max="7" width="14.85546875" bestFit="1" customWidth="1"/>
  </cols>
  <sheetData>
    <row r="3" spans="2:7" ht="18.75" x14ac:dyDescent="0.25">
      <c r="B3" s="13" t="s">
        <v>144</v>
      </c>
      <c r="C3" s="13">
        <v>2018</v>
      </c>
      <c r="D3" s="13">
        <v>2019</v>
      </c>
      <c r="E3" s="13">
        <v>2020</v>
      </c>
      <c r="F3" s="13">
        <v>2021</v>
      </c>
      <c r="G3" s="13">
        <v>2022</v>
      </c>
    </row>
    <row r="5" spans="2:7" ht="18.75" x14ac:dyDescent="0.25">
      <c r="B5" s="14" t="s">
        <v>189</v>
      </c>
      <c r="C5" s="14"/>
      <c r="D5" s="14"/>
      <c r="E5" s="14"/>
      <c r="F5" s="14"/>
      <c r="G5" s="14"/>
    </row>
    <row r="6" spans="2:7" ht="18.75" x14ac:dyDescent="0.25">
      <c r="B6" s="15" t="str">
        <f>'Income Statement'!B11</f>
        <v>Cost Of Materials Consumed</v>
      </c>
      <c r="C6" s="16">
        <f>'Income Statement'!C11</f>
        <v>9345.99</v>
      </c>
      <c r="D6" s="16">
        <f>'Income Statement'!D11</f>
        <v>9774.51</v>
      </c>
      <c r="E6" s="16">
        <f>'Income Statement'!E11</f>
        <v>9552.7800000000007</v>
      </c>
      <c r="F6" s="16">
        <f>'Income Statement'!F11</f>
        <v>10123.540000000001</v>
      </c>
      <c r="G6" s="16">
        <f>'Income Statement'!G11</f>
        <v>9442.18</v>
      </c>
    </row>
    <row r="7" spans="2:7" ht="18.75" x14ac:dyDescent="0.25">
      <c r="B7" s="15" t="str">
        <f>'Balance Sheet'!B19</f>
        <v>Total Current Liabilities</v>
      </c>
      <c r="C7" s="16">
        <f>'Balance Sheet'!C19</f>
        <v>105751.77</v>
      </c>
      <c r="D7" s="16">
        <f>'Balance Sheet'!D19</f>
        <v>103655.38999999998</v>
      </c>
      <c r="E7" s="16">
        <f>'Balance Sheet'!E19</f>
        <v>111043.45</v>
      </c>
      <c r="F7" s="16">
        <f>'Balance Sheet'!F19</f>
        <v>118223.88</v>
      </c>
      <c r="G7" s="16">
        <f>'Balance Sheet'!G19</f>
        <v>132305.72</v>
      </c>
    </row>
    <row r="8" spans="2:7" ht="18.75" x14ac:dyDescent="0.25">
      <c r="B8" s="17" t="s">
        <v>190</v>
      </c>
      <c r="C8" s="17">
        <f>ROUND(C6/C7, 2)</f>
        <v>0.09</v>
      </c>
      <c r="D8" s="17">
        <f t="shared" ref="D8:G8" si="0">ROUND(D6/D7, 2)</f>
        <v>0.09</v>
      </c>
      <c r="E8" s="17">
        <f t="shared" si="0"/>
        <v>0.09</v>
      </c>
      <c r="F8" s="17">
        <f t="shared" si="0"/>
        <v>0.09</v>
      </c>
      <c r="G8" s="17">
        <f t="shared" si="0"/>
        <v>7.0000000000000007E-2</v>
      </c>
    </row>
  </sheetData>
  <mergeCells count="1">
    <mergeCell ref="B5:G5"/>
  </mergeCells>
  <pageMargins left="0.7" right="0.7" top="0.75" bottom="0.75" header="0.3" footer="0.3"/>
  <drawing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95DF7D-4E34-401F-B5C7-E763A2AEC7B2}">
  <dimension ref="B3:G8"/>
  <sheetViews>
    <sheetView showGridLines="0" workbookViewId="0">
      <selection activeCell="B8" sqref="B8:G8"/>
    </sheetView>
  </sheetViews>
  <sheetFormatPr defaultRowHeight="15" x14ac:dyDescent="0.25"/>
  <cols>
    <col min="2" max="2" width="22.28515625" bestFit="1" customWidth="1"/>
    <col min="3" max="7" width="14.85546875" bestFit="1" customWidth="1"/>
  </cols>
  <sheetData>
    <row r="3" spans="2:7" ht="18.75" x14ac:dyDescent="0.25">
      <c r="B3" s="13" t="s">
        <v>144</v>
      </c>
      <c r="C3" s="13">
        <v>2018</v>
      </c>
      <c r="D3" s="13">
        <v>2019</v>
      </c>
      <c r="E3" s="13">
        <v>2020</v>
      </c>
      <c r="F3" s="13">
        <v>2021</v>
      </c>
      <c r="G3" s="13">
        <v>2022</v>
      </c>
    </row>
    <row r="5" spans="2:7" ht="18.75" x14ac:dyDescent="0.25">
      <c r="B5" s="14" t="s">
        <v>191</v>
      </c>
      <c r="C5" s="14"/>
      <c r="D5" s="14"/>
      <c r="E5" s="14"/>
      <c r="F5" s="14"/>
      <c r="G5" s="14"/>
    </row>
    <row r="6" spans="2:7" ht="18.75" x14ac:dyDescent="0.25">
      <c r="B6" s="15" t="str">
        <f>'Income Statement'!B5</f>
        <v>Gross Sales</v>
      </c>
      <c r="C6" s="16">
        <f>'Income Statement'!C5</f>
        <v>127162.17</v>
      </c>
      <c r="D6" s="16">
        <f>'Income Statement'!D5</f>
        <v>140603</v>
      </c>
      <c r="E6" s="16">
        <f>'Income Statement'!E5</f>
        <v>134979.13</v>
      </c>
      <c r="F6" s="16">
        <f>'Income Statement'!F5</f>
        <v>126786.13</v>
      </c>
      <c r="G6" s="16">
        <f>'Income Statement'!G5</f>
        <v>109713.5</v>
      </c>
    </row>
    <row r="7" spans="2:7" ht="18.75" x14ac:dyDescent="0.25">
      <c r="B7" s="15" t="str">
        <f>'Balance Sheet'!B36</f>
        <v>Inventories</v>
      </c>
      <c r="C7" s="16">
        <f>'Balance Sheet'!C36</f>
        <v>6443.85</v>
      </c>
      <c r="D7" s="16">
        <f>'Balance Sheet'!D36</f>
        <v>5583.93</v>
      </c>
      <c r="E7" s="16">
        <f>'Balance Sheet'!E36</f>
        <v>6617.98</v>
      </c>
      <c r="F7" s="16">
        <f>'Balance Sheet'!F36</f>
        <v>8947.4699999999993</v>
      </c>
      <c r="G7" s="16">
        <f>'Balance Sheet'!G36</f>
        <v>7075.68</v>
      </c>
    </row>
    <row r="8" spans="2:7" ht="18.75" x14ac:dyDescent="0.25">
      <c r="B8" s="17" t="s">
        <v>192</v>
      </c>
      <c r="C8" s="17">
        <f>ROUND(365/C6*C7, 2)</f>
        <v>18.5</v>
      </c>
      <c r="D8" s="17">
        <f t="shared" ref="D8:G8" si="0">ROUND(365/D6*D7, 2)</f>
        <v>14.5</v>
      </c>
      <c r="E8" s="17">
        <f t="shared" si="0"/>
        <v>17.899999999999999</v>
      </c>
      <c r="F8" s="17">
        <f t="shared" si="0"/>
        <v>25.76</v>
      </c>
      <c r="G8" s="17">
        <f t="shared" si="0"/>
        <v>23.54</v>
      </c>
    </row>
  </sheetData>
  <mergeCells count="1">
    <mergeCell ref="B5:G5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DA04C5-9F2C-46D6-B844-CE2EC68AC925}">
  <dimension ref="B3:G35"/>
  <sheetViews>
    <sheetView showGridLines="0" topLeftCell="A13" workbookViewId="0">
      <selection activeCell="C30" sqref="C30:G30"/>
    </sheetView>
  </sheetViews>
  <sheetFormatPr defaultRowHeight="15" x14ac:dyDescent="0.25"/>
  <cols>
    <col min="2" max="2" width="57.140625" bestFit="1" customWidth="1"/>
    <col min="3" max="7" width="18.85546875" bestFit="1" customWidth="1"/>
  </cols>
  <sheetData>
    <row r="3" spans="2:7" ht="18.75" x14ac:dyDescent="0.25">
      <c r="B3" s="10" t="s">
        <v>120</v>
      </c>
      <c r="C3" s="11"/>
      <c r="D3" s="11"/>
      <c r="E3" s="11"/>
      <c r="F3" s="11"/>
      <c r="G3" s="11"/>
    </row>
    <row r="4" spans="2:7" ht="18.75" x14ac:dyDescent="0.25">
      <c r="B4" s="12" t="s">
        <v>119</v>
      </c>
      <c r="C4" s="12">
        <v>2018</v>
      </c>
      <c r="D4" s="12">
        <v>2019</v>
      </c>
      <c r="E4" s="12">
        <v>2020</v>
      </c>
      <c r="F4" s="12">
        <v>2021</v>
      </c>
      <c r="G4" s="12">
        <v>2022</v>
      </c>
    </row>
    <row r="5" spans="2:7" ht="18.75" x14ac:dyDescent="0.25">
      <c r="B5" s="8" t="s">
        <v>97</v>
      </c>
      <c r="C5" s="5">
        <v>127162.17</v>
      </c>
      <c r="D5" s="5">
        <v>140603</v>
      </c>
      <c r="E5" s="5">
        <v>134979.13</v>
      </c>
      <c r="F5" s="5">
        <v>126786.13</v>
      </c>
      <c r="G5" s="5">
        <v>109713.5</v>
      </c>
    </row>
    <row r="6" spans="2:7" ht="18.75" x14ac:dyDescent="0.25">
      <c r="B6" s="8" t="s">
        <v>98</v>
      </c>
      <c r="C6" s="4">
        <v>45462.17</v>
      </c>
      <c r="D6" s="5">
        <v>47706.92</v>
      </c>
      <c r="E6" s="5">
        <v>45605.79</v>
      </c>
      <c r="F6" s="5">
        <v>44075.81</v>
      </c>
      <c r="G6" s="5">
        <v>0</v>
      </c>
    </row>
    <row r="7" spans="2:7" ht="18.75" x14ac:dyDescent="0.25">
      <c r="B7" s="9" t="s">
        <v>105</v>
      </c>
      <c r="C7" s="7">
        <f>C5 - C6</f>
        <v>81700</v>
      </c>
      <c r="D7" s="7">
        <f t="shared" ref="D7:G7" si="0">D5 - D6</f>
        <v>92896.08</v>
      </c>
      <c r="E7" s="7">
        <f t="shared" si="0"/>
        <v>89373.34</v>
      </c>
      <c r="F7" s="7">
        <f t="shared" si="0"/>
        <v>82710.320000000007</v>
      </c>
      <c r="G7" s="7">
        <f t="shared" si="0"/>
        <v>109713.5</v>
      </c>
    </row>
    <row r="8" spans="2:7" ht="18.75" x14ac:dyDescent="0.25">
      <c r="B8" s="8" t="s">
        <v>59</v>
      </c>
      <c r="C8" s="5">
        <v>4658.32</v>
      </c>
      <c r="D8" s="5">
        <v>5873.73</v>
      </c>
      <c r="E8" s="5">
        <v>6105.4</v>
      </c>
      <c r="F8" s="5">
        <v>3792.38</v>
      </c>
      <c r="G8" s="5">
        <v>3904.52</v>
      </c>
    </row>
    <row r="9" spans="2:7" ht="18.75" x14ac:dyDescent="0.25">
      <c r="B9" s="8" t="s">
        <v>106</v>
      </c>
      <c r="C9" s="4"/>
      <c r="D9" s="4"/>
      <c r="E9" s="4"/>
      <c r="F9" s="4"/>
      <c r="G9" s="4"/>
    </row>
    <row r="10" spans="2:7" ht="18.75" x14ac:dyDescent="0.25">
      <c r="B10" s="9" t="s">
        <v>107</v>
      </c>
      <c r="C10" s="7">
        <f>SUM(C7:C9)</f>
        <v>86358.32</v>
      </c>
      <c r="D10" s="7">
        <f t="shared" ref="D10:G10" si="1">SUM(D7:D9)</f>
        <v>98769.81</v>
      </c>
      <c r="E10" s="7">
        <f t="shared" si="1"/>
        <v>95478.739999999991</v>
      </c>
      <c r="F10" s="7">
        <f t="shared" si="1"/>
        <v>86502.700000000012</v>
      </c>
      <c r="G10" s="7">
        <f t="shared" si="1"/>
        <v>113618.02</v>
      </c>
    </row>
    <row r="11" spans="2:7" ht="18.75" x14ac:dyDescent="0.25">
      <c r="B11" s="8" t="s">
        <v>62</v>
      </c>
      <c r="C11" s="5">
        <v>9345.99</v>
      </c>
      <c r="D11" s="5">
        <v>9774.51</v>
      </c>
      <c r="E11" s="5">
        <v>9552.7800000000007</v>
      </c>
      <c r="F11" s="5">
        <v>10123.540000000001</v>
      </c>
      <c r="G11" s="5">
        <v>9442.18</v>
      </c>
    </row>
    <row r="12" spans="2:7" ht="18.75" x14ac:dyDescent="0.25">
      <c r="B12" s="8" t="s">
        <v>64</v>
      </c>
      <c r="C12" s="4">
        <v>12766.97</v>
      </c>
      <c r="D12" s="5">
        <v>19895.59</v>
      </c>
      <c r="E12" s="5">
        <v>19453.419999999998</v>
      </c>
      <c r="F12" s="5">
        <v>16023.08</v>
      </c>
      <c r="G12" s="5">
        <v>0</v>
      </c>
    </row>
    <row r="13" spans="2:7" ht="18.75" x14ac:dyDescent="0.25">
      <c r="B13" s="8" t="s">
        <v>66</v>
      </c>
      <c r="C13" s="5">
        <v>42633.599999999999</v>
      </c>
      <c r="D13" s="5">
        <v>38770.1</v>
      </c>
      <c r="E13" s="5">
        <v>39384.080000000002</v>
      </c>
      <c r="F13" s="5">
        <v>38697.72</v>
      </c>
      <c r="G13" s="5">
        <v>40700.82</v>
      </c>
    </row>
    <row r="14" spans="2:7" ht="18.75" x14ac:dyDescent="0.25">
      <c r="B14" s="8" t="s">
        <v>69</v>
      </c>
      <c r="C14" s="5">
        <v>9496.94</v>
      </c>
      <c r="D14" s="5">
        <v>5157.6000000000004</v>
      </c>
      <c r="E14" s="5">
        <v>6604.19</v>
      </c>
      <c r="F14" s="5">
        <v>7635.02</v>
      </c>
      <c r="G14" s="5">
        <v>32467.94</v>
      </c>
    </row>
    <row r="15" spans="2:7" ht="18.75" x14ac:dyDescent="0.25">
      <c r="B15" s="9" t="s">
        <v>108</v>
      </c>
      <c r="C15" s="7">
        <f>C11+C12+C13+C14</f>
        <v>74243.5</v>
      </c>
      <c r="D15" s="7">
        <f t="shared" ref="D15:G15" si="2">D11+D12+D13+D14</f>
        <v>73597.8</v>
      </c>
      <c r="E15" s="7">
        <f t="shared" si="2"/>
        <v>74994.47</v>
      </c>
      <c r="F15" s="7">
        <f t="shared" si="2"/>
        <v>72479.360000000001</v>
      </c>
      <c r="G15" s="7">
        <f t="shared" si="2"/>
        <v>82610.94</v>
      </c>
    </row>
    <row r="16" spans="2:7" ht="18.75" x14ac:dyDescent="0.25">
      <c r="B16" s="9" t="s">
        <v>109</v>
      </c>
      <c r="C16" s="7">
        <f xml:space="preserve"> C10-C15-C8</f>
        <v>7456.5000000000073</v>
      </c>
      <c r="D16" s="7">
        <f t="shared" ref="D16:G16" si="3" xml:space="preserve"> D10-D15-D8</f>
        <v>19298.279999999995</v>
      </c>
      <c r="E16" s="7">
        <f t="shared" si="3"/>
        <v>14378.86999999999</v>
      </c>
      <c r="F16" s="7">
        <f t="shared" si="3"/>
        <v>10230.96000000001</v>
      </c>
      <c r="G16" s="7">
        <f t="shared" si="3"/>
        <v>27102.560000000001</v>
      </c>
    </row>
    <row r="17" spans="2:7" ht="18.75" x14ac:dyDescent="0.25">
      <c r="B17" s="9" t="s">
        <v>110</v>
      </c>
      <c r="C17" s="7">
        <f xml:space="preserve"> C16+C8</f>
        <v>12114.820000000007</v>
      </c>
      <c r="D17" s="7">
        <f t="shared" ref="D17:G17" si="4" xml:space="preserve"> D16+D8</f>
        <v>25172.009999999995</v>
      </c>
      <c r="E17" s="7">
        <f t="shared" si="4"/>
        <v>20484.26999999999</v>
      </c>
      <c r="F17" s="7">
        <f t="shared" si="4"/>
        <v>14023.340000000011</v>
      </c>
      <c r="G17" s="7">
        <f t="shared" si="4"/>
        <v>31007.08</v>
      </c>
    </row>
    <row r="18" spans="2:7" ht="18.75" x14ac:dyDescent="0.25">
      <c r="B18" s="8" t="s">
        <v>68</v>
      </c>
      <c r="C18" s="5">
        <v>3066.38</v>
      </c>
      <c r="D18" s="5">
        <v>3450.36</v>
      </c>
      <c r="E18" s="5">
        <v>3450.84</v>
      </c>
      <c r="F18" s="5">
        <v>3708.92</v>
      </c>
      <c r="G18" s="5">
        <v>4428.67</v>
      </c>
    </row>
    <row r="19" spans="2:7" ht="18.75" x14ac:dyDescent="0.25">
      <c r="B19" s="9" t="s">
        <v>111</v>
      </c>
      <c r="C19" s="7">
        <f xml:space="preserve"> C17-C18</f>
        <v>9048.440000000006</v>
      </c>
      <c r="D19" s="7">
        <f t="shared" ref="D19:G19" si="5" xml:space="preserve"> D17-D18</f>
        <v>21721.649999999994</v>
      </c>
      <c r="E19" s="7">
        <f t="shared" si="5"/>
        <v>17033.429999999989</v>
      </c>
      <c r="F19" s="7">
        <f t="shared" si="5"/>
        <v>10314.420000000011</v>
      </c>
      <c r="G19" s="7">
        <f t="shared" si="5"/>
        <v>26578.410000000003</v>
      </c>
    </row>
    <row r="20" spans="2:7" ht="18.75" x14ac:dyDescent="0.25">
      <c r="B20" s="8" t="s">
        <v>67</v>
      </c>
      <c r="C20" s="4">
        <v>431.79</v>
      </c>
      <c r="D20" s="4">
        <v>275.04000000000002</v>
      </c>
      <c r="E20" s="4">
        <v>502.92</v>
      </c>
      <c r="F20" s="4">
        <v>644.69000000000005</v>
      </c>
      <c r="G20" s="4">
        <v>541.49</v>
      </c>
    </row>
    <row r="21" spans="2:7" ht="18.75" x14ac:dyDescent="0.25">
      <c r="B21" s="9" t="s">
        <v>112</v>
      </c>
      <c r="C21" s="7">
        <f xml:space="preserve"> C19-C20</f>
        <v>8616.6500000000051</v>
      </c>
      <c r="D21" s="7">
        <f t="shared" ref="D21:G21" si="6" xml:space="preserve"> D19-D20</f>
        <v>21446.609999999993</v>
      </c>
      <c r="E21" s="7">
        <f t="shared" si="6"/>
        <v>16530.509999999991</v>
      </c>
      <c r="F21" s="7">
        <f t="shared" si="6"/>
        <v>9669.7300000000105</v>
      </c>
      <c r="G21" s="7">
        <f t="shared" si="6"/>
        <v>26036.920000000002</v>
      </c>
    </row>
    <row r="22" spans="2:7" ht="18.75" x14ac:dyDescent="0.25">
      <c r="B22" s="8" t="s">
        <v>113</v>
      </c>
      <c r="C22" s="4"/>
      <c r="D22" s="4"/>
      <c r="E22" s="4"/>
      <c r="F22" s="4"/>
      <c r="G22" s="4"/>
    </row>
    <row r="23" spans="2:7" ht="18.75" x14ac:dyDescent="0.25">
      <c r="B23" s="9" t="s">
        <v>114</v>
      </c>
      <c r="C23" s="7">
        <f xml:space="preserve"> C21+C22</f>
        <v>8616.6500000000051</v>
      </c>
      <c r="D23" s="7">
        <f t="shared" ref="D23:G23" si="7" xml:space="preserve"> D21+D22</f>
        <v>21446.609999999993</v>
      </c>
      <c r="E23" s="7">
        <f t="shared" si="7"/>
        <v>16530.509999999991</v>
      </c>
      <c r="F23" s="7">
        <f t="shared" si="7"/>
        <v>9669.7300000000105</v>
      </c>
      <c r="G23" s="7">
        <f t="shared" si="7"/>
        <v>26036.920000000002</v>
      </c>
    </row>
    <row r="24" spans="2:7" ht="18.75" x14ac:dyDescent="0.25">
      <c r="B24" s="8" t="s">
        <v>72</v>
      </c>
      <c r="C24" s="4">
        <v>0</v>
      </c>
      <c r="D24" s="4">
        <v>0</v>
      </c>
      <c r="E24" s="4">
        <v>0</v>
      </c>
      <c r="F24" s="4">
        <v>0</v>
      </c>
      <c r="G24" s="4">
        <v>0</v>
      </c>
    </row>
    <row r="25" spans="2:7" ht="18.75" x14ac:dyDescent="0.25">
      <c r="B25" s="9" t="s">
        <v>115</v>
      </c>
      <c r="C25" s="7">
        <f xml:space="preserve"> C23+C24</f>
        <v>8616.6500000000051</v>
      </c>
      <c r="D25" s="7">
        <f t="shared" ref="D25:G25" si="8" xml:space="preserve"> D23+D24</f>
        <v>21446.609999999993</v>
      </c>
      <c r="E25" s="7">
        <f t="shared" si="8"/>
        <v>16530.509999999991</v>
      </c>
      <c r="F25" s="7">
        <f t="shared" si="8"/>
        <v>9669.7300000000105</v>
      </c>
      <c r="G25" s="7">
        <f t="shared" si="8"/>
        <v>26036.920000000002</v>
      </c>
    </row>
    <row r="26" spans="2:7" ht="18.75" x14ac:dyDescent="0.25">
      <c r="B26" s="8" t="s">
        <v>79</v>
      </c>
      <c r="C26" s="5">
        <v>3706.66</v>
      </c>
      <c r="D26" s="5">
        <v>9662.4500000000007</v>
      </c>
      <c r="E26" s="5">
        <v>7370.98</v>
      </c>
      <c r="F26" s="5">
        <v>5307.07</v>
      </c>
      <c r="G26" s="5">
        <v>6237.86</v>
      </c>
    </row>
    <row r="27" spans="2:7" ht="18.75" x14ac:dyDescent="0.25">
      <c r="B27" s="9" t="s">
        <v>116</v>
      </c>
      <c r="C27" s="7">
        <f xml:space="preserve"> C25-C26</f>
        <v>4909.9900000000052</v>
      </c>
      <c r="D27" s="7">
        <f t="shared" ref="D27:G27" si="9" xml:space="preserve"> D25-D26</f>
        <v>11784.159999999993</v>
      </c>
      <c r="E27" s="7">
        <f t="shared" si="9"/>
        <v>9159.5299999999916</v>
      </c>
      <c r="F27" s="7">
        <f t="shared" si="9"/>
        <v>4362.6600000000108</v>
      </c>
      <c r="G27" s="7">
        <f t="shared" si="9"/>
        <v>19799.060000000001</v>
      </c>
    </row>
    <row r="28" spans="2:7" ht="18.75" x14ac:dyDescent="0.25">
      <c r="B28" s="8" t="s">
        <v>88</v>
      </c>
      <c r="C28" s="4">
        <v>10242.24</v>
      </c>
      <c r="D28" s="5">
        <v>8105.58</v>
      </c>
      <c r="E28" s="5">
        <v>7395.27</v>
      </c>
      <c r="F28" s="5">
        <v>7703.44</v>
      </c>
      <c r="G28" s="5">
        <v>0</v>
      </c>
    </row>
    <row r="29" spans="2:7" ht="18.75" x14ac:dyDescent="0.25">
      <c r="B29" s="8" t="s">
        <v>89</v>
      </c>
      <c r="C29" s="4">
        <v>2081.5700000000002</v>
      </c>
      <c r="D29" s="4">
        <v>1833.86</v>
      </c>
      <c r="E29" s="5">
        <v>2282.08</v>
      </c>
      <c r="F29" s="5">
        <v>0</v>
      </c>
      <c r="G29" s="5">
        <v>0</v>
      </c>
    </row>
    <row r="30" spans="2:7" ht="18.75" x14ac:dyDescent="0.25">
      <c r="B30" s="9" t="s">
        <v>117</v>
      </c>
      <c r="C30" s="7">
        <f xml:space="preserve"> C27-C28-C29</f>
        <v>-7413.8199999999943</v>
      </c>
      <c r="D30" s="7">
        <f t="shared" ref="D30:G30" si="10" xml:space="preserve"> D27-D28-D29</f>
        <v>1844.7199999999928</v>
      </c>
      <c r="E30" s="7">
        <f t="shared" si="10"/>
        <v>-517.8200000000088</v>
      </c>
      <c r="F30" s="7">
        <f t="shared" si="10"/>
        <v>-3340.7799999999888</v>
      </c>
      <c r="G30" s="7">
        <f t="shared" si="10"/>
        <v>19799.060000000001</v>
      </c>
    </row>
    <row r="31" spans="2:7" ht="18.75" x14ac:dyDescent="0.25">
      <c r="B31" s="8"/>
      <c r="C31" s="4"/>
      <c r="D31" s="4"/>
      <c r="E31" s="4"/>
      <c r="F31" s="4"/>
      <c r="G31" s="4"/>
    </row>
    <row r="32" spans="2:7" ht="18.75" x14ac:dyDescent="0.25">
      <c r="B32" s="8"/>
      <c r="C32" s="4"/>
      <c r="D32" s="4"/>
      <c r="E32" s="4"/>
      <c r="F32" s="4"/>
      <c r="G32" s="4"/>
    </row>
    <row r="33" spans="2:7" ht="18.75" x14ac:dyDescent="0.25">
      <c r="B33" s="8"/>
      <c r="C33" s="4"/>
      <c r="D33" s="4"/>
      <c r="E33" s="4"/>
      <c r="F33" s="4"/>
      <c r="G33" s="4"/>
    </row>
    <row r="34" spans="2:7" ht="18.75" x14ac:dyDescent="0.25">
      <c r="B34" s="8" t="s">
        <v>85</v>
      </c>
      <c r="C34" s="4">
        <v>11</v>
      </c>
      <c r="D34" s="4">
        <v>28</v>
      </c>
      <c r="E34" s="4">
        <v>27</v>
      </c>
      <c r="F34" s="4">
        <v>21</v>
      </c>
      <c r="G34" s="4">
        <v>28</v>
      </c>
    </row>
    <row r="35" spans="2:7" ht="18.75" x14ac:dyDescent="0.25">
      <c r="B35" s="8" t="s">
        <v>118</v>
      </c>
      <c r="C35" s="4">
        <f>C27/C34</f>
        <v>446.36272727272774</v>
      </c>
      <c r="D35" s="4">
        <f t="shared" ref="D35:G35" si="11">D27/D34</f>
        <v>420.86285714285685</v>
      </c>
      <c r="E35" s="4">
        <f t="shared" si="11"/>
        <v>339.24185185185155</v>
      </c>
      <c r="F35" s="4">
        <f t="shared" si="11"/>
        <v>207.7457142857148</v>
      </c>
      <c r="G35" s="4">
        <f t="shared" si="11"/>
        <v>707.10928571428576</v>
      </c>
    </row>
  </sheetData>
  <mergeCells count="1">
    <mergeCell ref="B3:G3"/>
  </mergeCells>
  <pageMargins left="0.7" right="0.7" top="0.75" bottom="0.75" header="0.3" footer="0.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B04DE3-22D4-43FC-95D5-1781B8E86368}">
  <dimension ref="B3:G8"/>
  <sheetViews>
    <sheetView showGridLines="0" workbookViewId="0">
      <selection activeCell="B8" sqref="B8:G8"/>
    </sheetView>
  </sheetViews>
  <sheetFormatPr defaultRowHeight="15" x14ac:dyDescent="0.25"/>
  <cols>
    <col min="2" max="2" width="40.42578125" bestFit="1" customWidth="1"/>
    <col min="3" max="7" width="14.85546875" bestFit="1" customWidth="1"/>
  </cols>
  <sheetData>
    <row r="3" spans="2:7" ht="18.75" x14ac:dyDescent="0.25">
      <c r="B3" s="13" t="s">
        <v>144</v>
      </c>
      <c r="C3" s="13">
        <v>2018</v>
      </c>
      <c r="D3" s="13">
        <v>2019</v>
      </c>
      <c r="E3" s="13">
        <v>2020</v>
      </c>
      <c r="F3" s="13">
        <v>2021</v>
      </c>
      <c r="G3" s="13">
        <v>2022</v>
      </c>
    </row>
    <row r="5" spans="2:7" ht="18.75" x14ac:dyDescent="0.25">
      <c r="B5" s="14" t="s">
        <v>193</v>
      </c>
      <c r="C5" s="14"/>
      <c r="D5" s="14"/>
      <c r="E5" s="14"/>
      <c r="F5" s="14"/>
      <c r="G5" s="14"/>
    </row>
    <row r="6" spans="2:7" ht="18.75" x14ac:dyDescent="0.25">
      <c r="B6" s="15" t="str">
        <f>'Income Statement'!B11</f>
        <v>Cost Of Materials Consumed</v>
      </c>
      <c r="C6" s="16">
        <f>'Income Statement'!C11</f>
        <v>9345.99</v>
      </c>
      <c r="D6" s="16">
        <f>'Income Statement'!D11</f>
        <v>9774.51</v>
      </c>
      <c r="E6" s="16">
        <f>'Income Statement'!E11</f>
        <v>9552.7800000000007</v>
      </c>
      <c r="F6" s="16">
        <f>'Income Statement'!F11</f>
        <v>10123.540000000001</v>
      </c>
      <c r="G6" s="16">
        <f>'Income Statement'!G11</f>
        <v>9442.18</v>
      </c>
    </row>
    <row r="7" spans="2:7" ht="18.75" x14ac:dyDescent="0.25">
      <c r="B7" s="15" t="str">
        <f>'Balance Sheet'!B19</f>
        <v>Total Current Liabilities</v>
      </c>
      <c r="C7" s="16">
        <f>'Balance Sheet'!C19</f>
        <v>105751.77</v>
      </c>
      <c r="D7" s="16">
        <f>'Balance Sheet'!D19</f>
        <v>103655.38999999998</v>
      </c>
      <c r="E7" s="16">
        <f>'Balance Sheet'!E19</f>
        <v>111043.45</v>
      </c>
      <c r="F7" s="16">
        <f>'Balance Sheet'!F19</f>
        <v>118223.88</v>
      </c>
      <c r="G7" s="16">
        <f>'Balance Sheet'!G19</f>
        <v>132305.72</v>
      </c>
    </row>
    <row r="8" spans="2:7" ht="18.75" x14ac:dyDescent="0.25">
      <c r="B8" s="17" t="s">
        <v>194</v>
      </c>
      <c r="C8" s="17">
        <f>ROUND(365/C6*C7, 2)</f>
        <v>4130.05</v>
      </c>
      <c r="D8" s="17">
        <f t="shared" ref="D8:G8" si="0">ROUND(365/D6*D7, 2)</f>
        <v>3870.7</v>
      </c>
      <c r="E8" s="17">
        <f t="shared" si="0"/>
        <v>4242.83</v>
      </c>
      <c r="F8" s="17">
        <f t="shared" si="0"/>
        <v>4262.51</v>
      </c>
      <c r="G8" s="17">
        <f t="shared" si="0"/>
        <v>5114.45</v>
      </c>
    </row>
  </sheetData>
  <mergeCells count="1">
    <mergeCell ref="B5:G5"/>
  </mergeCells>
  <pageMargins left="0.7" right="0.7" top="0.75" bottom="0.75" header="0.3" footer="0.3"/>
  <drawing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F4A4BB-D246-4B59-B54B-7463576A6511}">
  <dimension ref="B3:G8"/>
  <sheetViews>
    <sheetView showGridLines="0" workbookViewId="0">
      <selection activeCell="B8" sqref="B8:G8"/>
    </sheetView>
  </sheetViews>
  <sheetFormatPr defaultRowHeight="15" x14ac:dyDescent="0.25"/>
  <cols>
    <col min="2" max="2" width="25.5703125" bestFit="1" customWidth="1"/>
    <col min="3" max="7" width="14.85546875" bestFit="1" customWidth="1"/>
  </cols>
  <sheetData>
    <row r="3" spans="2:7" ht="18.75" x14ac:dyDescent="0.25">
      <c r="B3" s="13" t="s">
        <v>144</v>
      </c>
      <c r="C3" s="13">
        <v>2018</v>
      </c>
      <c r="D3" s="13">
        <v>2019</v>
      </c>
      <c r="E3" s="13">
        <v>2020</v>
      </c>
      <c r="F3" s="13">
        <v>2021</v>
      </c>
      <c r="G3" s="13">
        <v>2022</v>
      </c>
    </row>
    <row r="5" spans="2:7" ht="18.75" x14ac:dyDescent="0.25">
      <c r="B5" s="14" t="s">
        <v>195</v>
      </c>
      <c r="C5" s="14"/>
      <c r="D5" s="14"/>
      <c r="E5" s="14"/>
      <c r="F5" s="14"/>
      <c r="G5" s="14"/>
    </row>
    <row r="6" spans="2:7" ht="18.75" x14ac:dyDescent="0.25">
      <c r="B6" s="15" t="str">
        <f>'Income Statement'!B5</f>
        <v>Gross Sales</v>
      </c>
      <c r="C6" s="16">
        <f>'Income Statement'!C5</f>
        <v>127162.17</v>
      </c>
      <c r="D6" s="16">
        <f>'Income Statement'!D5</f>
        <v>140603</v>
      </c>
      <c r="E6" s="16">
        <f>'Income Statement'!E5</f>
        <v>134979.13</v>
      </c>
      <c r="F6" s="16">
        <f>'Income Statement'!F5</f>
        <v>126786.13</v>
      </c>
      <c r="G6" s="16">
        <f>'Income Statement'!G5</f>
        <v>109713.5</v>
      </c>
    </row>
    <row r="7" spans="2:7" ht="18.75" x14ac:dyDescent="0.25">
      <c r="B7" s="15" t="str">
        <f>'Balance Sheet'!B37</f>
        <v>Trade Receivables</v>
      </c>
      <c r="C7" s="16">
        <f>'Balance Sheet'!C37</f>
        <v>8689.16</v>
      </c>
      <c r="D7" s="16">
        <f>'Balance Sheet'!D37</f>
        <v>5498.55</v>
      </c>
      <c r="E7" s="16">
        <f>'Balance Sheet'!E37</f>
        <v>14408.22</v>
      </c>
      <c r="F7" s="16">
        <f>'Balance Sheet'!F37</f>
        <v>19623.12</v>
      </c>
      <c r="G7" s="16">
        <f>'Balance Sheet'!G37</f>
        <v>11367.68</v>
      </c>
    </row>
    <row r="8" spans="2:7" ht="18.75" x14ac:dyDescent="0.25">
      <c r="B8" s="17" t="s">
        <v>196</v>
      </c>
      <c r="C8" s="17">
        <f>ROUND(365/C6*C7, 2)</f>
        <v>24.94</v>
      </c>
      <c r="D8" s="17">
        <f t="shared" ref="D8:G8" si="0">ROUND(365/D6*D7, 2)</f>
        <v>14.27</v>
      </c>
      <c r="E8" s="17">
        <f t="shared" si="0"/>
        <v>38.96</v>
      </c>
      <c r="F8" s="17">
        <f t="shared" si="0"/>
        <v>56.49</v>
      </c>
      <c r="G8" s="17">
        <f t="shared" si="0"/>
        <v>37.82</v>
      </c>
    </row>
  </sheetData>
  <mergeCells count="1">
    <mergeCell ref="B5:G5"/>
  </mergeCells>
  <pageMargins left="0.7" right="0.7" top="0.75" bottom="0.75" header="0.3" footer="0.3"/>
  <drawing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49459D-692C-4A2A-94D0-A13B09FBD8C2}">
  <dimension ref="B3:G12"/>
  <sheetViews>
    <sheetView showGridLines="0" workbookViewId="0">
      <selection activeCell="B12" sqref="B12:G12"/>
    </sheetView>
  </sheetViews>
  <sheetFormatPr defaultRowHeight="15" x14ac:dyDescent="0.25"/>
  <cols>
    <col min="2" max="2" width="40.42578125" bestFit="1" customWidth="1"/>
    <col min="3" max="7" width="14.85546875" bestFit="1" customWidth="1"/>
  </cols>
  <sheetData>
    <row r="3" spans="2:7" ht="18.75" x14ac:dyDescent="0.25">
      <c r="B3" s="13" t="s">
        <v>144</v>
      </c>
      <c r="C3" s="13">
        <v>2018</v>
      </c>
      <c r="D3" s="13">
        <v>2019</v>
      </c>
      <c r="E3" s="13">
        <v>2020</v>
      </c>
      <c r="F3" s="13">
        <v>2021</v>
      </c>
      <c r="G3" s="13">
        <v>2022</v>
      </c>
    </row>
    <row r="5" spans="2:7" ht="18.75" x14ac:dyDescent="0.25">
      <c r="B5" s="14" t="s">
        <v>197</v>
      </c>
      <c r="C5" s="14"/>
      <c r="D5" s="14"/>
      <c r="E5" s="14"/>
      <c r="F5" s="14"/>
      <c r="G5" s="14"/>
    </row>
    <row r="6" spans="2:7" ht="18.75" x14ac:dyDescent="0.25">
      <c r="B6" s="15" t="str">
        <f>'Income Statement'!B5</f>
        <v>Gross Sales</v>
      </c>
      <c r="C6" s="16">
        <f>'Income Statement'!C5</f>
        <v>127162.17</v>
      </c>
      <c r="D6" s="16">
        <f>'Income Statement'!D5</f>
        <v>140603</v>
      </c>
      <c r="E6" s="16">
        <f>'Income Statement'!E5</f>
        <v>134979.13</v>
      </c>
      <c r="F6" s="16">
        <f>'Income Statement'!F5</f>
        <v>126786.13</v>
      </c>
      <c r="G6" s="16">
        <f>'Income Statement'!G5</f>
        <v>109713.5</v>
      </c>
    </row>
    <row r="7" spans="2:7" ht="18.75" x14ac:dyDescent="0.25">
      <c r="B7" s="15" t="str">
        <f>'Balance Sheet'!B36</f>
        <v>Inventories</v>
      </c>
      <c r="C7" s="16">
        <f>'Balance Sheet'!C36</f>
        <v>6443.85</v>
      </c>
      <c r="D7" s="16">
        <f>'Balance Sheet'!D36</f>
        <v>5583.93</v>
      </c>
      <c r="E7" s="16">
        <f>'Balance Sheet'!E36</f>
        <v>6617.98</v>
      </c>
      <c r="F7" s="16">
        <f>'Balance Sheet'!F36</f>
        <v>8947.4699999999993</v>
      </c>
      <c r="G7" s="16">
        <f>'Balance Sheet'!G36</f>
        <v>7075.68</v>
      </c>
    </row>
    <row r="8" spans="2:7" ht="18.75" x14ac:dyDescent="0.25">
      <c r="B8" s="15" t="s">
        <v>192</v>
      </c>
      <c r="C8" s="16">
        <f>ROUND(365/C6*C7, 2)</f>
        <v>18.5</v>
      </c>
      <c r="D8" s="16">
        <f t="shared" ref="D8:G8" si="0">ROUND(365/D6*D7, 2)</f>
        <v>14.5</v>
      </c>
      <c r="E8" s="16">
        <f t="shared" si="0"/>
        <v>17.899999999999999</v>
      </c>
      <c r="F8" s="16">
        <f t="shared" si="0"/>
        <v>25.76</v>
      </c>
      <c r="G8" s="16">
        <f t="shared" si="0"/>
        <v>23.54</v>
      </c>
    </row>
    <row r="9" spans="2:7" ht="18.75" x14ac:dyDescent="0.25">
      <c r="B9" s="15" t="str">
        <f>'Income Statement'!B11</f>
        <v>Cost Of Materials Consumed</v>
      </c>
      <c r="C9" s="16">
        <f>'Income Statement'!C11</f>
        <v>9345.99</v>
      </c>
      <c r="D9" s="16">
        <f>'Income Statement'!D11</f>
        <v>9774.51</v>
      </c>
      <c r="E9" s="16">
        <f>'Income Statement'!E11</f>
        <v>9552.7800000000007</v>
      </c>
      <c r="F9" s="16">
        <f>'Income Statement'!F11</f>
        <v>10123.540000000001</v>
      </c>
      <c r="G9" s="16">
        <f>'Income Statement'!G11</f>
        <v>9442.18</v>
      </c>
    </row>
    <row r="10" spans="2:7" ht="18.75" x14ac:dyDescent="0.25">
      <c r="B10" s="15" t="str">
        <f>'Balance Sheet'!B19</f>
        <v>Total Current Liabilities</v>
      </c>
      <c r="C10" s="16">
        <f>'Balance Sheet'!C19</f>
        <v>105751.77</v>
      </c>
      <c r="D10" s="16">
        <f>'Balance Sheet'!D19</f>
        <v>103655.38999999998</v>
      </c>
      <c r="E10" s="16">
        <f>'Balance Sheet'!E19</f>
        <v>111043.45</v>
      </c>
      <c r="F10" s="16">
        <f>'Balance Sheet'!F19</f>
        <v>118223.88</v>
      </c>
      <c r="G10" s="16">
        <f>'Balance Sheet'!G19</f>
        <v>132305.72</v>
      </c>
    </row>
    <row r="11" spans="2:7" ht="18.75" x14ac:dyDescent="0.25">
      <c r="B11" s="15" t="s">
        <v>194</v>
      </c>
      <c r="C11" s="16">
        <f>ROUND(365/C9*C10, 2)</f>
        <v>4130.05</v>
      </c>
      <c r="D11" s="16">
        <f t="shared" ref="D11:G11" si="1">ROUND(365/D9*D10, 2)</f>
        <v>3870.7</v>
      </c>
      <c r="E11" s="16">
        <f t="shared" si="1"/>
        <v>4242.83</v>
      </c>
      <c r="F11" s="16">
        <f t="shared" si="1"/>
        <v>4262.51</v>
      </c>
      <c r="G11" s="16">
        <f t="shared" si="1"/>
        <v>5114.45</v>
      </c>
    </row>
    <row r="12" spans="2:7" ht="18.75" x14ac:dyDescent="0.25">
      <c r="B12" s="17" t="s">
        <v>198</v>
      </c>
      <c r="C12" s="28">
        <f>ROUND(C11+C8, 2)</f>
        <v>4148.55</v>
      </c>
      <c r="D12" s="28">
        <f t="shared" ref="D12:G12" si="2">ROUND(D11+D8, 2)</f>
        <v>3885.2</v>
      </c>
      <c r="E12" s="28">
        <f t="shared" si="2"/>
        <v>4260.7299999999996</v>
      </c>
      <c r="F12" s="28">
        <f t="shared" si="2"/>
        <v>4288.2700000000004</v>
      </c>
      <c r="G12" s="28">
        <f t="shared" si="2"/>
        <v>5137.99</v>
      </c>
    </row>
  </sheetData>
  <mergeCells count="1">
    <mergeCell ref="B5:G5"/>
  </mergeCells>
  <pageMargins left="0.7" right="0.7" top="0.75" bottom="0.75" header="0.3" footer="0.3"/>
  <drawing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A7FEB1-CC7E-49B5-8A7F-C058758DEAB5}">
  <dimension ref="B3:G16"/>
  <sheetViews>
    <sheetView showGridLines="0" workbookViewId="0">
      <selection activeCell="B16" sqref="B16:G16"/>
    </sheetView>
  </sheetViews>
  <sheetFormatPr defaultRowHeight="15" x14ac:dyDescent="0.25"/>
  <cols>
    <col min="2" max="2" width="40.42578125" bestFit="1" customWidth="1"/>
    <col min="3" max="7" width="14.85546875" bestFit="1" customWidth="1"/>
  </cols>
  <sheetData>
    <row r="3" spans="2:7" ht="18.75" x14ac:dyDescent="0.25">
      <c r="B3" s="13" t="s">
        <v>144</v>
      </c>
      <c r="C3" s="13">
        <v>2018</v>
      </c>
      <c r="D3" s="13">
        <v>2019</v>
      </c>
      <c r="E3" s="13">
        <v>2020</v>
      </c>
      <c r="F3" s="13">
        <v>2021</v>
      </c>
      <c r="G3" s="13">
        <v>2022</v>
      </c>
    </row>
    <row r="5" spans="2:7" ht="18.75" x14ac:dyDescent="0.25">
      <c r="B5" s="14" t="s">
        <v>199</v>
      </c>
      <c r="C5" s="14"/>
      <c r="D5" s="14"/>
      <c r="E5" s="14"/>
      <c r="F5" s="14"/>
      <c r="G5" s="14"/>
    </row>
    <row r="6" spans="2:7" ht="18.75" x14ac:dyDescent="0.25">
      <c r="B6" s="15" t="str">
        <f>'Income Statement'!B5</f>
        <v>Gross Sales</v>
      </c>
      <c r="C6" s="16">
        <f>'Income Statement'!C5</f>
        <v>127162.17</v>
      </c>
      <c r="D6" s="16">
        <f>'Income Statement'!D5</f>
        <v>140603</v>
      </c>
      <c r="E6" s="16">
        <f>'Income Statement'!E5</f>
        <v>134979.13</v>
      </c>
      <c r="F6" s="16">
        <f>'Income Statement'!F5</f>
        <v>126786.13</v>
      </c>
      <c r="G6" s="16">
        <f>'Income Statement'!G5</f>
        <v>109713.5</v>
      </c>
    </row>
    <row r="7" spans="2:7" ht="18.75" x14ac:dyDescent="0.25">
      <c r="B7" s="15" t="str">
        <f>'Balance Sheet'!B36</f>
        <v>Inventories</v>
      </c>
      <c r="C7" s="16">
        <f>'Balance Sheet'!C36</f>
        <v>6443.85</v>
      </c>
      <c r="D7" s="16">
        <f>'Balance Sheet'!D36</f>
        <v>5583.93</v>
      </c>
      <c r="E7" s="16">
        <f>'Balance Sheet'!E36</f>
        <v>6617.98</v>
      </c>
      <c r="F7" s="16">
        <f>'Balance Sheet'!F36</f>
        <v>8947.4699999999993</v>
      </c>
      <c r="G7" s="16">
        <f>'Balance Sheet'!G36</f>
        <v>7075.68</v>
      </c>
    </row>
    <row r="8" spans="2:7" ht="18.75" x14ac:dyDescent="0.25">
      <c r="B8" s="15" t="s">
        <v>192</v>
      </c>
      <c r="C8" s="16">
        <f>ROUND(365/C6*C7, 2)</f>
        <v>18.5</v>
      </c>
      <c r="D8" s="16">
        <f t="shared" ref="D8:G8" si="0">ROUND(365/D6*D7, 2)</f>
        <v>14.5</v>
      </c>
      <c r="E8" s="16">
        <f t="shared" si="0"/>
        <v>17.899999999999999</v>
      </c>
      <c r="F8" s="16">
        <f t="shared" si="0"/>
        <v>25.76</v>
      </c>
      <c r="G8" s="16">
        <f t="shared" si="0"/>
        <v>23.54</v>
      </c>
    </row>
    <row r="9" spans="2:7" ht="18.75" x14ac:dyDescent="0.25">
      <c r="B9" s="15" t="str">
        <f>'Income Statement'!B11</f>
        <v>Cost Of Materials Consumed</v>
      </c>
      <c r="C9" s="16">
        <f>'Income Statement'!C11</f>
        <v>9345.99</v>
      </c>
      <c r="D9" s="16">
        <f>'Income Statement'!D11</f>
        <v>9774.51</v>
      </c>
      <c r="E9" s="16">
        <f>'Income Statement'!E11</f>
        <v>9552.7800000000007</v>
      </c>
      <c r="F9" s="16">
        <f>'Income Statement'!F11</f>
        <v>10123.540000000001</v>
      </c>
      <c r="G9" s="16">
        <f>'Income Statement'!G11</f>
        <v>9442.18</v>
      </c>
    </row>
    <row r="10" spans="2:7" ht="18.75" x14ac:dyDescent="0.25">
      <c r="B10" s="15" t="str">
        <f>'Balance Sheet'!B19</f>
        <v>Total Current Liabilities</v>
      </c>
      <c r="C10" s="16">
        <f>'Balance Sheet'!C19</f>
        <v>105751.77</v>
      </c>
      <c r="D10" s="16">
        <f>'Balance Sheet'!D19</f>
        <v>103655.38999999998</v>
      </c>
      <c r="E10" s="16">
        <f>'Balance Sheet'!E19</f>
        <v>111043.45</v>
      </c>
      <c r="F10" s="16">
        <f>'Balance Sheet'!F19</f>
        <v>118223.88</v>
      </c>
      <c r="G10" s="16">
        <f>'Balance Sheet'!G19</f>
        <v>132305.72</v>
      </c>
    </row>
    <row r="11" spans="2:7" ht="18.75" x14ac:dyDescent="0.25">
      <c r="B11" s="15" t="s">
        <v>194</v>
      </c>
      <c r="C11" s="16">
        <f>ROUND(365/C9*C10, 2)</f>
        <v>4130.05</v>
      </c>
      <c r="D11" s="16">
        <f t="shared" ref="D11:G11" si="1">ROUND(365/D9*D10, 2)</f>
        <v>3870.7</v>
      </c>
      <c r="E11" s="16">
        <f t="shared" si="1"/>
        <v>4242.83</v>
      </c>
      <c r="F11" s="16">
        <f t="shared" si="1"/>
        <v>4262.51</v>
      </c>
      <c r="G11" s="16">
        <f t="shared" si="1"/>
        <v>5114.45</v>
      </c>
    </row>
    <row r="12" spans="2:7" ht="18.75" x14ac:dyDescent="0.25">
      <c r="B12" s="15" t="s">
        <v>200</v>
      </c>
      <c r="C12" s="16">
        <f>ROUND(C11+C8, 2)</f>
        <v>4148.55</v>
      </c>
      <c r="D12" s="16">
        <f t="shared" ref="D12:G12" si="2">ROUND(D11+D8, 2)</f>
        <v>3885.2</v>
      </c>
      <c r="E12" s="16">
        <f t="shared" si="2"/>
        <v>4260.7299999999996</v>
      </c>
      <c r="F12" s="16">
        <f t="shared" si="2"/>
        <v>4288.2700000000004</v>
      </c>
      <c r="G12" s="16">
        <f t="shared" si="2"/>
        <v>5137.99</v>
      </c>
    </row>
    <row r="13" spans="2:7" ht="18.75" x14ac:dyDescent="0.25">
      <c r="B13" s="15" t="str">
        <f>'Income Statement'!B11</f>
        <v>Cost Of Materials Consumed</v>
      </c>
      <c r="C13" s="16">
        <f>'Income Statement'!C11</f>
        <v>9345.99</v>
      </c>
      <c r="D13" s="16">
        <f>'Income Statement'!D11</f>
        <v>9774.51</v>
      </c>
      <c r="E13" s="16">
        <f>'Income Statement'!E11</f>
        <v>9552.7800000000007</v>
      </c>
      <c r="F13" s="16">
        <f>'Income Statement'!F11</f>
        <v>10123.540000000001</v>
      </c>
      <c r="G13" s="16">
        <f>'Income Statement'!G11</f>
        <v>9442.18</v>
      </c>
    </row>
    <row r="14" spans="2:7" ht="18.75" x14ac:dyDescent="0.25">
      <c r="B14" s="15" t="str">
        <f>'Balance Sheet'!B19</f>
        <v>Total Current Liabilities</v>
      </c>
      <c r="C14" s="16">
        <f>'Balance Sheet'!C19</f>
        <v>105751.77</v>
      </c>
      <c r="D14" s="16">
        <f>'Balance Sheet'!D19</f>
        <v>103655.38999999998</v>
      </c>
      <c r="E14" s="16">
        <f>'Balance Sheet'!E19</f>
        <v>111043.45</v>
      </c>
      <c r="F14" s="16">
        <f>'Balance Sheet'!F19</f>
        <v>118223.88</v>
      </c>
      <c r="G14" s="16">
        <f>'Balance Sheet'!G19</f>
        <v>132305.72</v>
      </c>
    </row>
    <row r="15" spans="2:7" ht="18.75" x14ac:dyDescent="0.25">
      <c r="B15" s="15" t="s">
        <v>194</v>
      </c>
      <c r="C15" s="16">
        <f>ROUND(365/C13*C14, 2)</f>
        <v>4130.05</v>
      </c>
      <c r="D15" s="16">
        <f t="shared" ref="D15:G15" si="3">ROUND(365/D13*D14, 2)</f>
        <v>3870.7</v>
      </c>
      <c r="E15" s="16">
        <f t="shared" si="3"/>
        <v>4242.83</v>
      </c>
      <c r="F15" s="16">
        <f t="shared" si="3"/>
        <v>4262.51</v>
      </c>
      <c r="G15" s="16">
        <f t="shared" si="3"/>
        <v>5114.45</v>
      </c>
    </row>
    <row r="16" spans="2:7" ht="18.75" x14ac:dyDescent="0.25">
      <c r="B16" s="17" t="s">
        <v>201</v>
      </c>
      <c r="C16" s="28">
        <f>ROUND(C15-C12, 2)</f>
        <v>-18.5</v>
      </c>
      <c r="D16" s="28">
        <f t="shared" ref="D16:G16" si="4">ROUND(D15-D12, 2)</f>
        <v>-14.5</v>
      </c>
      <c r="E16" s="28">
        <f t="shared" si="4"/>
        <v>-17.899999999999999</v>
      </c>
      <c r="F16" s="28">
        <f t="shared" si="4"/>
        <v>-25.76</v>
      </c>
      <c r="G16" s="28">
        <f t="shared" si="4"/>
        <v>-23.54</v>
      </c>
    </row>
  </sheetData>
  <mergeCells count="1">
    <mergeCell ref="B5:G5"/>
  </mergeCells>
  <pageMargins left="0.7" right="0.7" top="0.75" bottom="0.75" header="0.3" footer="0.3"/>
  <drawing r:id="rId1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F67394-670C-4133-B220-B1ED3A45AC9E}">
  <dimension ref="B4:G6"/>
  <sheetViews>
    <sheetView showGridLines="0" workbookViewId="0">
      <selection activeCell="B4" sqref="B4"/>
    </sheetView>
  </sheetViews>
  <sheetFormatPr defaultRowHeight="15" x14ac:dyDescent="0.25"/>
  <cols>
    <col min="2" max="2" width="22.5703125" bestFit="1" customWidth="1"/>
    <col min="3" max="7" width="14.85546875" bestFit="1" customWidth="1"/>
  </cols>
  <sheetData>
    <row r="4" spans="2:7" ht="18.75" x14ac:dyDescent="0.25">
      <c r="B4" s="13" t="s">
        <v>202</v>
      </c>
      <c r="C4" s="13">
        <f>'Balance Sheet'!C4</f>
        <v>2018</v>
      </c>
      <c r="D4" s="13">
        <f>'Balance Sheet'!D4</f>
        <v>2019</v>
      </c>
      <c r="E4" s="13">
        <f>'Balance Sheet'!E4</f>
        <v>2020</v>
      </c>
      <c r="F4" s="13">
        <f>'Balance Sheet'!F4</f>
        <v>2021</v>
      </c>
      <c r="G4" s="13">
        <f>'Balance Sheet'!G4</f>
        <v>2022</v>
      </c>
    </row>
    <row r="5" spans="2:7" ht="18.75" x14ac:dyDescent="0.25">
      <c r="B5" s="15" t="str">
        <f>'Balance Sheet'!B9</f>
        <v>Net Worth</v>
      </c>
      <c r="C5" s="16">
        <f>'Balance Sheet'!C9</f>
        <v>19846.57</v>
      </c>
      <c r="D5" s="16">
        <f>'Balance Sheet'!D9</f>
        <v>21646.609999999993</v>
      </c>
      <c r="E5" s="16">
        <f>'Balance Sheet'!E9</f>
        <v>21128.789999999983</v>
      </c>
      <c r="F5" s="16">
        <f>'Balance Sheet'!F9</f>
        <v>17788.009999999995</v>
      </c>
      <c r="G5" s="16">
        <f>'Balance Sheet'!G9</f>
        <v>37587.069999999992</v>
      </c>
    </row>
    <row r="6" spans="2:7" ht="18.75" x14ac:dyDescent="0.25">
      <c r="B6" s="15" t="str">
        <f>'Balance Sheet'!B21</f>
        <v>Total Liabilities</v>
      </c>
      <c r="C6" s="16">
        <f>'Balance Sheet'!C21</f>
        <v>127491.73</v>
      </c>
      <c r="D6" s="16">
        <f>'Balance Sheet'!D21</f>
        <v>127911.51999999997</v>
      </c>
      <c r="E6" s="16">
        <f>'Balance Sheet'!E21</f>
        <v>139299.34999999998</v>
      </c>
      <c r="F6" s="16">
        <f>'Balance Sheet'!F21</f>
        <v>143050.34</v>
      </c>
      <c r="G6" s="16">
        <f>'Balance Sheet'!G21</f>
        <v>174687.36000000002</v>
      </c>
    </row>
  </sheetData>
  <pageMargins left="0.7" right="0.7" top="0.75" bottom="0.75" header="0.3" footer="0.3"/>
  <drawing r:id="rId1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76DD52-9472-4105-B0FC-3B41CD514561}">
  <dimension ref="B4:G6"/>
  <sheetViews>
    <sheetView showGridLines="0" workbookViewId="0">
      <selection activeCell="B4" sqref="B4"/>
    </sheetView>
  </sheetViews>
  <sheetFormatPr defaultRowHeight="15" x14ac:dyDescent="0.25"/>
  <cols>
    <col min="2" max="2" width="10.42578125" bestFit="1" customWidth="1"/>
    <col min="3" max="7" width="13.140625" bestFit="1" customWidth="1"/>
  </cols>
  <sheetData>
    <row r="4" spans="2:7" ht="18.75" x14ac:dyDescent="0.25">
      <c r="B4" s="13" t="s">
        <v>202</v>
      </c>
      <c r="C4" s="13">
        <f>'Balance Sheet'!C4</f>
        <v>2018</v>
      </c>
      <c r="D4" s="13">
        <f>'Balance Sheet'!D4</f>
        <v>2019</v>
      </c>
      <c r="E4" s="13">
        <f>'Balance Sheet'!E4</f>
        <v>2020</v>
      </c>
      <c r="F4" s="13">
        <f>'Balance Sheet'!F4</f>
        <v>2021</v>
      </c>
      <c r="G4" s="13">
        <f>'Balance Sheet'!G4</f>
        <v>2022</v>
      </c>
    </row>
    <row r="5" spans="2:7" ht="18.75" x14ac:dyDescent="0.25">
      <c r="B5" s="15" t="str">
        <f>'Income Statement'!B17</f>
        <v>PBDIT</v>
      </c>
      <c r="C5" s="16">
        <f>'Income Statement'!C17</f>
        <v>12114.820000000007</v>
      </c>
      <c r="D5" s="16">
        <f>'Income Statement'!D17</f>
        <v>25172.009999999995</v>
      </c>
      <c r="E5" s="16">
        <f>'Income Statement'!E17</f>
        <v>20484.26999999999</v>
      </c>
      <c r="F5" s="16">
        <f>'Income Statement'!F17</f>
        <v>14023.340000000011</v>
      </c>
      <c r="G5" s="16">
        <f>'Income Statement'!G17</f>
        <v>31007.08</v>
      </c>
    </row>
    <row r="6" spans="2:7" ht="18.75" x14ac:dyDescent="0.25">
      <c r="B6" s="15" t="str">
        <f>'Income Statement'!B19</f>
        <v>PBIT</v>
      </c>
      <c r="C6" s="16">
        <f>'Income Statement'!C19</f>
        <v>9048.440000000006</v>
      </c>
      <c r="D6" s="16">
        <f>'Income Statement'!D19</f>
        <v>21721.649999999994</v>
      </c>
      <c r="E6" s="16">
        <f>'Income Statement'!E19</f>
        <v>17033.429999999989</v>
      </c>
      <c r="F6" s="16">
        <f>'Income Statement'!F19</f>
        <v>10314.420000000011</v>
      </c>
      <c r="G6" s="16">
        <f>'Income Statement'!G19</f>
        <v>26578.410000000003</v>
      </c>
    </row>
  </sheetData>
  <pageMargins left="0.7" right="0.7" top="0.75" bottom="0.75" header="0.3" footer="0.3"/>
  <drawing r:id="rId1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790568-C2E4-409A-9F63-92BBB94248E8}">
  <dimension ref="B4:G6"/>
  <sheetViews>
    <sheetView showGridLines="0" workbookViewId="0">
      <selection activeCell="B4" sqref="B4"/>
    </sheetView>
  </sheetViews>
  <sheetFormatPr defaultRowHeight="15" x14ac:dyDescent="0.25"/>
  <cols>
    <col min="2" max="2" width="34.42578125" bestFit="1" customWidth="1"/>
    <col min="3" max="7" width="14.85546875" bestFit="1" customWidth="1"/>
  </cols>
  <sheetData>
    <row r="4" spans="2:7" ht="18.75" x14ac:dyDescent="0.25">
      <c r="B4" s="13" t="s">
        <v>202</v>
      </c>
      <c r="C4" s="13">
        <f>'Balance Sheet'!C4</f>
        <v>2018</v>
      </c>
      <c r="D4" s="13">
        <f>'Balance Sheet'!D4</f>
        <v>2019</v>
      </c>
      <c r="E4" s="13">
        <f>'Balance Sheet'!E4</f>
        <v>2020</v>
      </c>
      <c r="F4" s="13">
        <f>'Balance Sheet'!F4</f>
        <v>2021</v>
      </c>
      <c r="G4" s="13">
        <f>'Balance Sheet'!G4</f>
        <v>2022</v>
      </c>
    </row>
    <row r="5" spans="2:7" ht="18.75" x14ac:dyDescent="0.25">
      <c r="B5" s="15" t="str">
        <f>'Balance Sheet'!B39</f>
        <v>Total Current Assets</v>
      </c>
      <c r="C5" s="16">
        <f>'Balance Sheet'!C39</f>
        <v>88119.26999999999</v>
      </c>
      <c r="D5" s="16">
        <f>'Balance Sheet'!D39</f>
        <v>89993.729999999981</v>
      </c>
      <c r="E5" s="16">
        <f>'Balance Sheet'!E39</f>
        <v>103616.09999999999</v>
      </c>
      <c r="F5" s="16">
        <f>'Balance Sheet'!F39</f>
        <v>99507.159999999989</v>
      </c>
      <c r="G5" s="16">
        <f>'Balance Sheet'!G39</f>
        <v>120445.67</v>
      </c>
    </row>
    <row r="6" spans="2:7" ht="18.75" x14ac:dyDescent="0.25">
      <c r="B6" s="15" t="str">
        <f>'Balance Sheet'!B19</f>
        <v>Total Current Liabilities</v>
      </c>
      <c r="C6" s="16">
        <f>'Balance Sheet'!C19</f>
        <v>105751.77</v>
      </c>
      <c r="D6" s="16">
        <f>'Balance Sheet'!D19</f>
        <v>103655.38999999998</v>
      </c>
      <c r="E6" s="16">
        <f>'Balance Sheet'!E19</f>
        <v>111043.45</v>
      </c>
      <c r="F6" s="16">
        <f>'Balance Sheet'!F19</f>
        <v>118223.88</v>
      </c>
      <c r="G6" s="16">
        <f>'Balance Sheet'!G19</f>
        <v>132305.72</v>
      </c>
    </row>
  </sheetData>
  <pageMargins left="0.7" right="0.7" top="0.75" bottom="0.75" header="0.3" footer="0.3"/>
  <drawing r:id="rId1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54CEC7-B2E8-4200-B0EC-E2E15DEBF37A}">
  <dimension ref="B4:G6"/>
  <sheetViews>
    <sheetView showGridLines="0" workbookViewId="0">
      <selection activeCell="B4" sqref="B4"/>
    </sheetView>
  </sheetViews>
  <sheetFormatPr defaultRowHeight="15" x14ac:dyDescent="0.25"/>
  <cols>
    <col min="2" max="2" width="31.85546875" bestFit="1" customWidth="1"/>
    <col min="3" max="7" width="13.140625" bestFit="1" customWidth="1"/>
  </cols>
  <sheetData>
    <row r="4" spans="2:7" ht="18.75" x14ac:dyDescent="0.25">
      <c r="B4" s="13" t="s">
        <v>202</v>
      </c>
      <c r="C4" s="13">
        <f>'Balance Sheet'!C4</f>
        <v>2018</v>
      </c>
      <c r="D4" s="13">
        <f>'Balance Sheet'!D4</f>
        <v>2019</v>
      </c>
      <c r="E4" s="13">
        <f>'Balance Sheet'!E4</f>
        <v>2020</v>
      </c>
      <c r="F4" s="13">
        <f>'Balance Sheet'!F4</f>
        <v>2021</v>
      </c>
      <c r="G4" s="13">
        <f>'Balance Sheet'!G4</f>
        <v>2022</v>
      </c>
    </row>
    <row r="5" spans="2:7" ht="18.75" x14ac:dyDescent="0.25">
      <c r="B5" s="15" t="str">
        <f>'Balance Sheet'!B14</f>
        <v>Long Term Provisions</v>
      </c>
      <c r="C5" s="16">
        <f>'Balance Sheet'!C14</f>
        <v>49903.1</v>
      </c>
      <c r="D5" s="16">
        <f>'Balance Sheet'!D14</f>
        <v>52419.56</v>
      </c>
      <c r="E5" s="16">
        <f>'Balance Sheet'!E14</f>
        <v>60223.45</v>
      </c>
      <c r="F5" s="16">
        <f>'Balance Sheet'!F14</f>
        <v>63178.61</v>
      </c>
      <c r="G5" s="16">
        <f>'Balance Sheet'!G14</f>
        <v>65944</v>
      </c>
    </row>
    <row r="6" spans="2:7" ht="18.75" x14ac:dyDescent="0.25">
      <c r="B6" s="15" t="str">
        <f>'Balance Sheet'!B15</f>
        <v>Short Term Provisions</v>
      </c>
      <c r="C6" s="16">
        <f>'Balance Sheet'!C15</f>
        <v>14813.59</v>
      </c>
      <c r="D6" s="16">
        <f>'Balance Sheet'!D15</f>
        <v>7136.44</v>
      </c>
      <c r="E6" s="16">
        <f>'Balance Sheet'!E15</f>
        <v>6781.44</v>
      </c>
      <c r="F6" s="16">
        <f>'Balance Sheet'!F15</f>
        <v>6465.9</v>
      </c>
      <c r="G6" s="16">
        <f>'Balance Sheet'!G15</f>
        <v>6094.68</v>
      </c>
    </row>
  </sheetData>
  <pageMargins left="0.7" right="0.7" top="0.75" bottom="0.75" header="0.3" footer="0.3"/>
  <drawing r:id="rId1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C63BF6-9C00-4370-BC6A-42A40D2B993F}">
  <dimension ref="B4:G6"/>
  <sheetViews>
    <sheetView showGridLines="0" workbookViewId="0">
      <selection activeCell="B4" sqref="B4"/>
    </sheetView>
  </sheetViews>
  <sheetFormatPr defaultRowHeight="15" x14ac:dyDescent="0.25"/>
  <cols>
    <col min="2" max="2" width="44.28515625" bestFit="1" customWidth="1"/>
    <col min="3" max="6" width="13.140625" bestFit="1" customWidth="1"/>
    <col min="7" max="7" width="11.5703125" bestFit="1" customWidth="1"/>
  </cols>
  <sheetData>
    <row r="4" spans="2:7" ht="18.75" x14ac:dyDescent="0.25">
      <c r="B4" s="13" t="s">
        <v>202</v>
      </c>
      <c r="C4" s="13">
        <f>'Balance Sheet'!C4</f>
        <v>2018</v>
      </c>
      <c r="D4" s="13">
        <f>'Balance Sheet'!D4</f>
        <v>2019</v>
      </c>
      <c r="E4" s="13">
        <f>'Balance Sheet'!E4</f>
        <v>2020</v>
      </c>
      <c r="F4" s="13">
        <f>'Balance Sheet'!F4</f>
        <v>2021</v>
      </c>
      <c r="G4" s="13">
        <f>'Balance Sheet'!G4</f>
        <v>2022</v>
      </c>
    </row>
    <row r="5" spans="2:7" ht="18.75" x14ac:dyDescent="0.25">
      <c r="B5" s="15" t="str">
        <f>'Income Statement'!B11</f>
        <v>Cost Of Materials Consumed</v>
      </c>
      <c r="C5" s="16">
        <f>'Income Statement'!C11</f>
        <v>9345.99</v>
      </c>
      <c r="D5" s="16">
        <f>'Income Statement'!D11</f>
        <v>9774.51</v>
      </c>
      <c r="E5" s="16">
        <f>'Income Statement'!E11</f>
        <v>9552.7800000000007</v>
      </c>
      <c r="F5" s="16">
        <f>'Income Statement'!F11</f>
        <v>10123.540000000001</v>
      </c>
      <c r="G5" s="16">
        <f>'Income Statement'!G11</f>
        <v>9442.18</v>
      </c>
    </row>
    <row r="6" spans="2:7" ht="18.75" x14ac:dyDescent="0.25">
      <c r="B6" s="15" t="str">
        <f>'Income Statement'!B12</f>
        <v>Operating And Direct Expenses</v>
      </c>
      <c r="C6" s="16">
        <f>'Income Statement'!C12</f>
        <v>12766.97</v>
      </c>
      <c r="D6" s="16">
        <f>'Income Statement'!D12</f>
        <v>19895.59</v>
      </c>
      <c r="E6" s="16">
        <f>'Income Statement'!E12</f>
        <v>19453.419999999998</v>
      </c>
      <c r="F6" s="16">
        <f>'Income Statement'!F12</f>
        <v>16023.08</v>
      </c>
      <c r="G6" s="16">
        <f>'Income Statement'!G12</f>
        <v>0</v>
      </c>
    </row>
  </sheetData>
  <pageMargins left="0.7" right="0.7" top="0.75" bottom="0.75" header="0.3" footer="0.3"/>
  <drawing r:id="rId1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23C4BE-68D3-4D23-BAA4-1C31FE3F1ACE}">
  <dimension ref="B4:G6"/>
  <sheetViews>
    <sheetView showGridLines="0" workbookViewId="0">
      <selection activeCell="B4" sqref="B4"/>
    </sheetView>
  </sheetViews>
  <sheetFormatPr defaultRowHeight="15" x14ac:dyDescent="0.25"/>
  <cols>
    <col min="2" max="2" width="18.85546875" bestFit="1" customWidth="1"/>
    <col min="3" max="7" width="14.85546875" bestFit="1" customWidth="1"/>
  </cols>
  <sheetData>
    <row r="4" spans="2:7" ht="18.75" x14ac:dyDescent="0.25">
      <c r="B4" s="13" t="s">
        <v>202</v>
      </c>
      <c r="C4" s="13">
        <f>'Balance Sheet'!C4</f>
        <v>2018</v>
      </c>
      <c r="D4" s="13">
        <f>'Balance Sheet'!D4</f>
        <v>2019</v>
      </c>
      <c r="E4" s="13">
        <f>'Balance Sheet'!E4</f>
        <v>2020</v>
      </c>
      <c r="F4" s="13">
        <f>'Balance Sheet'!F4</f>
        <v>2021</v>
      </c>
      <c r="G4" s="13">
        <f>'Balance Sheet'!G4</f>
        <v>2022</v>
      </c>
    </row>
    <row r="5" spans="2:7" ht="18.75" x14ac:dyDescent="0.25">
      <c r="B5" s="15" t="str">
        <f>'Income Statement'!B5</f>
        <v>Gross Sales</v>
      </c>
      <c r="C5" s="16">
        <f>'Income Statement'!C5</f>
        <v>127162.17</v>
      </c>
      <c r="D5" s="16">
        <f>'Income Statement'!D5</f>
        <v>140603</v>
      </c>
      <c r="E5" s="16">
        <f>'Income Statement'!E5</f>
        <v>134979.13</v>
      </c>
      <c r="F5" s="16">
        <f>'Income Statement'!F5</f>
        <v>126786.13</v>
      </c>
      <c r="G5" s="16">
        <f>'Income Statement'!G5</f>
        <v>109713.5</v>
      </c>
    </row>
    <row r="6" spans="2:7" ht="18.75" x14ac:dyDescent="0.25">
      <c r="B6" s="15" t="str">
        <f>'Income Statement'!B10</f>
        <v>Total Income</v>
      </c>
      <c r="C6" s="16">
        <f>'Income Statement'!C10</f>
        <v>86358.32</v>
      </c>
      <c r="D6" s="16">
        <f>'Income Statement'!D10</f>
        <v>98769.81</v>
      </c>
      <c r="E6" s="16">
        <f>'Income Statement'!E10</f>
        <v>95478.739999999991</v>
      </c>
      <c r="F6" s="16">
        <f>'Income Statement'!F10</f>
        <v>86502.700000000012</v>
      </c>
      <c r="G6" s="16">
        <f>'Income Statement'!G10</f>
        <v>113618.02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DBA99E-1D8F-4DD8-B638-126E4F7D20AC}">
  <dimension ref="B3:G40"/>
  <sheetViews>
    <sheetView showGridLines="0" topLeftCell="A30" workbookViewId="0">
      <selection activeCell="D38" sqref="D38:G38"/>
    </sheetView>
  </sheetViews>
  <sheetFormatPr defaultRowHeight="15" x14ac:dyDescent="0.25"/>
  <cols>
    <col min="2" max="2" width="46" bestFit="1" customWidth="1"/>
    <col min="3" max="7" width="17.140625" bestFit="1" customWidth="1"/>
  </cols>
  <sheetData>
    <row r="3" spans="2:7" ht="18.75" x14ac:dyDescent="0.25">
      <c r="B3" s="10" t="s">
        <v>128</v>
      </c>
      <c r="C3" s="11"/>
      <c r="D3" s="11"/>
      <c r="E3" s="11"/>
      <c r="F3" s="11"/>
      <c r="G3" s="11"/>
    </row>
    <row r="4" spans="2:7" ht="18.75" x14ac:dyDescent="0.25">
      <c r="B4" s="12" t="s">
        <v>119</v>
      </c>
      <c r="C4" s="12">
        <v>2018</v>
      </c>
      <c r="D4" s="12">
        <v>2019</v>
      </c>
      <c r="E4" s="12">
        <v>2020</v>
      </c>
      <c r="F4" s="12">
        <v>2021</v>
      </c>
      <c r="G4" s="12">
        <v>2022</v>
      </c>
    </row>
    <row r="5" spans="2:7" ht="18.75" x14ac:dyDescent="0.25">
      <c r="B5" s="8" t="s">
        <v>5</v>
      </c>
      <c r="C5" s="5">
        <v>6207.41</v>
      </c>
      <c r="D5" s="5">
        <v>6162.73</v>
      </c>
      <c r="E5" s="5">
        <v>6162.73</v>
      </c>
      <c r="F5" s="5">
        <v>6162.73</v>
      </c>
      <c r="G5" s="5">
        <v>6162.73</v>
      </c>
    </row>
    <row r="6" spans="2:7" ht="18.75" x14ac:dyDescent="0.25">
      <c r="B6" s="8" t="s">
        <v>121</v>
      </c>
      <c r="C6" s="4"/>
      <c r="D6" s="4"/>
      <c r="E6" s="4"/>
      <c r="F6" s="4"/>
      <c r="G6" s="4"/>
    </row>
    <row r="7" spans="2:7" ht="18.75" x14ac:dyDescent="0.25">
      <c r="B7" s="9" t="s">
        <v>6</v>
      </c>
      <c r="C7" s="7">
        <f>C5+C6</f>
        <v>6207.41</v>
      </c>
      <c r="D7" s="7">
        <f t="shared" ref="D7:G7" si="0">D5+D6</f>
        <v>6162.73</v>
      </c>
      <c r="E7" s="7">
        <f t="shared" si="0"/>
        <v>6162.73</v>
      </c>
      <c r="F7" s="7">
        <f t="shared" si="0"/>
        <v>6162.73</v>
      </c>
      <c r="G7" s="7">
        <f t="shared" si="0"/>
        <v>6162.73</v>
      </c>
    </row>
    <row r="8" spans="2:7" ht="18.75" x14ac:dyDescent="0.25">
      <c r="B8" s="8" t="s">
        <v>7</v>
      </c>
      <c r="C8" s="5">
        <v>13639.16</v>
      </c>
      <c r="D8" s="5">
        <f>'Income Statement'!D30+C8</f>
        <v>15483.879999999992</v>
      </c>
      <c r="E8" s="5">
        <f>'Income Statement'!E30+D8</f>
        <v>14966.059999999983</v>
      </c>
      <c r="F8" s="5">
        <f>'Income Statement'!F30+E8</f>
        <v>11625.279999999995</v>
      </c>
      <c r="G8" s="5">
        <f>'Income Statement'!G30+F8</f>
        <v>31424.339999999997</v>
      </c>
    </row>
    <row r="9" spans="2:7" ht="18.75" x14ac:dyDescent="0.25">
      <c r="B9" s="9" t="s">
        <v>122</v>
      </c>
      <c r="C9" s="7">
        <f>C7+C8</f>
        <v>19846.57</v>
      </c>
      <c r="D9" s="7">
        <f t="shared" ref="D9:G9" si="1">D7+D8</f>
        <v>21646.609999999993</v>
      </c>
      <c r="E9" s="7">
        <f t="shared" si="1"/>
        <v>21128.789999999983</v>
      </c>
      <c r="F9" s="7">
        <f t="shared" si="1"/>
        <v>17788.009999999995</v>
      </c>
      <c r="G9" s="7">
        <f t="shared" si="1"/>
        <v>37587.069999999992</v>
      </c>
    </row>
    <row r="10" spans="2:7" ht="18.75" x14ac:dyDescent="0.25">
      <c r="B10" s="8" t="s">
        <v>12</v>
      </c>
      <c r="C10" s="5">
        <v>1054.4000000000001</v>
      </c>
      <c r="D10" s="5">
        <v>1472.27</v>
      </c>
      <c r="E10" s="5">
        <v>1993.38</v>
      </c>
      <c r="F10" s="5">
        <v>2688.1</v>
      </c>
      <c r="G10" s="5">
        <v>3301.78</v>
      </c>
    </row>
    <row r="11" spans="2:7" ht="18.75" x14ac:dyDescent="0.25">
      <c r="B11" s="8" t="s">
        <v>13</v>
      </c>
      <c r="C11" s="4">
        <v>0</v>
      </c>
      <c r="D11" s="4">
        <v>0</v>
      </c>
      <c r="E11" s="4">
        <v>307.04000000000002</v>
      </c>
      <c r="F11" s="4">
        <v>722.07</v>
      </c>
      <c r="G11" s="4">
        <v>811.02</v>
      </c>
    </row>
    <row r="12" spans="2:7" ht="18.75" x14ac:dyDescent="0.25">
      <c r="B12" s="8" t="s">
        <v>18</v>
      </c>
      <c r="C12" s="4">
        <v>476.54</v>
      </c>
      <c r="D12" s="5">
        <v>730.47</v>
      </c>
      <c r="E12" s="5">
        <v>4432.6099999999997</v>
      </c>
      <c r="F12" s="4">
        <v>3187.2</v>
      </c>
      <c r="G12" s="4">
        <v>7.98</v>
      </c>
    </row>
    <row r="13" spans="2:7" ht="18.75" x14ac:dyDescent="0.25">
      <c r="B13" s="9" t="s">
        <v>123</v>
      </c>
      <c r="C13" s="7">
        <f>C10+C11+C12</f>
        <v>1530.94</v>
      </c>
      <c r="D13" s="7">
        <f t="shared" ref="D13:G13" si="2">D10+D11+D12</f>
        <v>2202.7399999999998</v>
      </c>
      <c r="E13" s="7">
        <f t="shared" si="2"/>
        <v>6733.03</v>
      </c>
      <c r="F13" s="7">
        <f t="shared" si="2"/>
        <v>6597.37</v>
      </c>
      <c r="G13" s="7">
        <f t="shared" si="2"/>
        <v>4120.78</v>
      </c>
    </row>
    <row r="14" spans="2:7" ht="18.75" x14ac:dyDescent="0.25">
      <c r="B14" s="8" t="s">
        <v>15</v>
      </c>
      <c r="C14" s="5">
        <v>49903.1</v>
      </c>
      <c r="D14" s="5">
        <v>52419.56</v>
      </c>
      <c r="E14" s="5">
        <v>60223.45</v>
      </c>
      <c r="F14" s="5">
        <v>63178.61</v>
      </c>
      <c r="G14" s="5">
        <v>65944</v>
      </c>
    </row>
    <row r="15" spans="2:7" ht="18.75" x14ac:dyDescent="0.25">
      <c r="B15" s="8" t="s">
        <v>21</v>
      </c>
      <c r="C15" s="5">
        <v>14813.59</v>
      </c>
      <c r="D15" s="5">
        <v>7136.44</v>
      </c>
      <c r="E15" s="5">
        <v>6781.44</v>
      </c>
      <c r="F15" s="5">
        <v>6465.9</v>
      </c>
      <c r="G15" s="5">
        <v>6094.68</v>
      </c>
    </row>
    <row r="16" spans="2:7" ht="18.75" x14ac:dyDescent="0.25">
      <c r="B16" s="8" t="s">
        <v>14</v>
      </c>
      <c r="C16" s="5">
        <v>5530.13</v>
      </c>
      <c r="D16" s="5">
        <v>6154.12</v>
      </c>
      <c r="E16" s="5">
        <v>6184.32</v>
      </c>
      <c r="F16" s="5">
        <v>6589.6</v>
      </c>
      <c r="G16" s="5">
        <v>8967.0300000000007</v>
      </c>
    </row>
    <row r="17" spans="2:7" ht="18.75" x14ac:dyDescent="0.25">
      <c r="B17" s="8" t="s">
        <v>19</v>
      </c>
      <c r="C17" s="5">
        <v>4516.93</v>
      </c>
      <c r="D17" s="5">
        <v>6815.51</v>
      </c>
      <c r="E17" s="5">
        <v>7250.96</v>
      </c>
      <c r="F17" s="5">
        <v>7637.63</v>
      </c>
      <c r="G17" s="5">
        <v>8591.7800000000007</v>
      </c>
    </row>
    <row r="18" spans="2:7" ht="18.75" x14ac:dyDescent="0.25">
      <c r="B18" s="8" t="s">
        <v>20</v>
      </c>
      <c r="C18" s="5">
        <v>30988.02</v>
      </c>
      <c r="D18" s="5">
        <v>31129.759999999998</v>
      </c>
      <c r="E18" s="5">
        <v>30603.279999999999</v>
      </c>
      <c r="F18" s="5">
        <v>34352.14</v>
      </c>
      <c r="G18" s="5">
        <v>42708.23</v>
      </c>
    </row>
    <row r="19" spans="2:7" ht="18.75" x14ac:dyDescent="0.25">
      <c r="B19" s="9" t="s">
        <v>22</v>
      </c>
      <c r="C19" s="7">
        <f>C14+C15+C16+C17+C18</f>
        <v>105751.77</v>
      </c>
      <c r="D19" s="7">
        <f t="shared" ref="D19:G19" si="3">D14+D15+D16+D17+D18</f>
        <v>103655.38999999998</v>
      </c>
      <c r="E19" s="7">
        <f t="shared" si="3"/>
        <v>111043.45</v>
      </c>
      <c r="F19" s="7">
        <f t="shared" si="3"/>
        <v>118223.88</v>
      </c>
      <c r="G19" s="7">
        <f t="shared" si="3"/>
        <v>132305.72</v>
      </c>
    </row>
    <row r="20" spans="2:7" ht="18.75" x14ac:dyDescent="0.25">
      <c r="B20" s="8" t="s">
        <v>10</v>
      </c>
      <c r="C20" s="4">
        <v>362.45</v>
      </c>
      <c r="D20" s="4">
        <v>406.78</v>
      </c>
      <c r="E20" s="4">
        <v>394.08</v>
      </c>
      <c r="F20" s="4">
        <v>441.08</v>
      </c>
      <c r="G20" s="4">
        <v>673.79</v>
      </c>
    </row>
    <row r="21" spans="2:7" ht="18.75" x14ac:dyDescent="0.25">
      <c r="B21" s="9" t="s">
        <v>124</v>
      </c>
      <c r="C21" s="7">
        <f>C9+C13+C19+C20</f>
        <v>127491.73</v>
      </c>
      <c r="D21" s="7">
        <f t="shared" ref="D21:G21" si="4">D9+D13+D19+D20</f>
        <v>127911.51999999997</v>
      </c>
      <c r="E21" s="7">
        <f t="shared" si="4"/>
        <v>139299.34999999998</v>
      </c>
      <c r="F21" s="7">
        <f t="shared" si="4"/>
        <v>143050.34</v>
      </c>
      <c r="G21" s="7">
        <f t="shared" si="4"/>
        <v>174687.36000000002</v>
      </c>
    </row>
    <row r="22" spans="2:7" ht="18.75" x14ac:dyDescent="0.25">
      <c r="B22" s="8"/>
      <c r="C22" s="5"/>
      <c r="D22" s="4"/>
      <c r="E22" s="4"/>
      <c r="F22" s="4"/>
      <c r="G22" s="4"/>
    </row>
    <row r="23" spans="2:7" ht="18.75" x14ac:dyDescent="0.25">
      <c r="B23" s="8" t="s">
        <v>26</v>
      </c>
      <c r="C23" s="5">
        <v>24063.3</v>
      </c>
      <c r="D23" s="5">
        <v>28539.06</v>
      </c>
      <c r="E23" s="5">
        <v>32302.35</v>
      </c>
      <c r="F23" s="5">
        <v>37753.65</v>
      </c>
      <c r="G23" s="5">
        <v>59574.1</v>
      </c>
    </row>
    <row r="24" spans="2:7" ht="18.75" x14ac:dyDescent="0.25">
      <c r="B24" s="8" t="s">
        <v>27</v>
      </c>
      <c r="C24" s="4">
        <v>29.53</v>
      </c>
      <c r="D24" s="4">
        <v>35.18</v>
      </c>
      <c r="E24" s="4">
        <v>38.14</v>
      </c>
      <c r="F24" s="4">
        <v>45.76</v>
      </c>
      <c r="G24" s="4">
        <v>0</v>
      </c>
    </row>
    <row r="25" spans="2:7" ht="18.75" x14ac:dyDescent="0.25">
      <c r="B25" s="8" t="s">
        <v>125</v>
      </c>
      <c r="C25" s="4"/>
      <c r="D25" s="5">
        <f>'Income Statement'!D18</f>
        <v>3450.36</v>
      </c>
      <c r="E25" s="5">
        <f>'Income Statement'!E18+D25</f>
        <v>6901.2000000000007</v>
      </c>
      <c r="F25" s="5">
        <f>'Income Statement'!F18+E25</f>
        <v>10610.12</v>
      </c>
      <c r="G25" s="5">
        <f>'Income Statement'!G18+F25</f>
        <v>15038.79</v>
      </c>
    </row>
    <row r="26" spans="2:7" ht="18.75" x14ac:dyDescent="0.25">
      <c r="B26" s="9" t="s">
        <v>126</v>
      </c>
      <c r="C26" s="7">
        <f>C23+C24-C25</f>
        <v>24092.829999999998</v>
      </c>
      <c r="D26" s="7">
        <f t="shared" ref="D26:G26" si="5">D23+D24-D25</f>
        <v>25123.88</v>
      </c>
      <c r="E26" s="7">
        <f t="shared" si="5"/>
        <v>25439.289999999997</v>
      </c>
      <c r="F26" s="7">
        <f t="shared" si="5"/>
        <v>27189.29</v>
      </c>
      <c r="G26" s="7">
        <f t="shared" si="5"/>
        <v>44535.31</v>
      </c>
    </row>
    <row r="27" spans="2:7" ht="18.75" x14ac:dyDescent="0.25">
      <c r="B27" s="8" t="s">
        <v>30</v>
      </c>
      <c r="C27" s="5">
        <v>1303.06</v>
      </c>
      <c r="D27" s="5">
        <v>1421.01</v>
      </c>
      <c r="E27" s="5">
        <v>1873.17</v>
      </c>
      <c r="F27" s="5">
        <v>2317.64</v>
      </c>
      <c r="G27" s="5">
        <v>2426.9699999999998</v>
      </c>
    </row>
    <row r="28" spans="2:7" ht="18.75" x14ac:dyDescent="0.25">
      <c r="B28" s="8" t="s">
        <v>36</v>
      </c>
      <c r="C28" s="5">
        <v>205.57</v>
      </c>
      <c r="D28" s="5">
        <v>1749.96</v>
      </c>
      <c r="E28" s="4">
        <v>99.7</v>
      </c>
      <c r="F28" s="5">
        <v>3632.59</v>
      </c>
      <c r="G28" s="4">
        <v>7279.41</v>
      </c>
    </row>
    <row r="29" spans="2:7" ht="18.75" x14ac:dyDescent="0.25">
      <c r="B29" s="8" t="s">
        <v>28</v>
      </c>
      <c r="C29" s="4">
        <v>13771</v>
      </c>
      <c r="D29" s="5">
        <v>9622.94</v>
      </c>
      <c r="E29" s="5">
        <v>8271.09</v>
      </c>
      <c r="F29" s="5">
        <v>10403.66</v>
      </c>
      <c r="G29" s="5">
        <v>0</v>
      </c>
    </row>
    <row r="30" spans="2:7" ht="18.75" x14ac:dyDescent="0.25">
      <c r="B30" s="9" t="s">
        <v>127</v>
      </c>
      <c r="C30" s="7">
        <f>C26+C27+C28+C29</f>
        <v>39372.46</v>
      </c>
      <c r="D30" s="7">
        <f t="shared" ref="D30:G30" si="6">D26+D27+D28+D29</f>
        <v>37917.79</v>
      </c>
      <c r="E30" s="7">
        <f t="shared" si="6"/>
        <v>35683.25</v>
      </c>
      <c r="F30" s="7">
        <f t="shared" si="6"/>
        <v>43543.180000000008</v>
      </c>
      <c r="G30" s="7">
        <f t="shared" si="6"/>
        <v>54241.69</v>
      </c>
    </row>
    <row r="31" spans="2:7" ht="18.75" x14ac:dyDescent="0.25">
      <c r="B31" s="8" t="s">
        <v>31</v>
      </c>
      <c r="C31" s="5">
        <v>5355.05</v>
      </c>
      <c r="D31" s="5">
        <v>4269.16</v>
      </c>
      <c r="E31" s="5">
        <v>3618.01</v>
      </c>
      <c r="F31" s="5">
        <v>4059.43</v>
      </c>
      <c r="G31" s="5">
        <v>4138.09</v>
      </c>
    </row>
    <row r="32" spans="2:7" ht="18.75" x14ac:dyDescent="0.25">
      <c r="B32" s="8" t="s">
        <v>32</v>
      </c>
      <c r="C32" s="4">
        <v>1020.08</v>
      </c>
      <c r="D32" s="4">
        <v>1141.73</v>
      </c>
      <c r="E32" s="4">
        <v>638.59</v>
      </c>
      <c r="F32" s="5">
        <v>136.27000000000001</v>
      </c>
      <c r="G32" s="5">
        <v>353.39</v>
      </c>
    </row>
    <row r="33" spans="2:7" ht="18.75" x14ac:dyDescent="0.25">
      <c r="B33" s="8" t="s">
        <v>33</v>
      </c>
      <c r="C33" s="5">
        <v>13135.43</v>
      </c>
      <c r="D33" s="5">
        <v>14294.68</v>
      </c>
      <c r="E33" s="5">
        <v>15398.3</v>
      </c>
      <c r="F33" s="5">
        <v>17646.439999999999</v>
      </c>
      <c r="G33" s="5">
        <v>20907.830000000002</v>
      </c>
    </row>
    <row r="34" spans="2:7" ht="18.75" x14ac:dyDescent="0.25">
      <c r="B34" s="8" t="s">
        <v>40</v>
      </c>
      <c r="C34" s="4">
        <v>3.69</v>
      </c>
      <c r="D34" s="4">
        <v>502.33</v>
      </c>
      <c r="E34" s="4">
        <v>502.65</v>
      </c>
      <c r="F34" s="4">
        <v>501.28</v>
      </c>
      <c r="G34" s="4">
        <v>0.21</v>
      </c>
    </row>
    <row r="35" spans="2:7" ht="18.75" x14ac:dyDescent="0.25">
      <c r="B35" s="8" t="s">
        <v>41</v>
      </c>
      <c r="C35" s="5">
        <v>21996.94</v>
      </c>
      <c r="D35" s="5">
        <v>24860.66</v>
      </c>
      <c r="E35" s="5">
        <v>33610.04</v>
      </c>
      <c r="F35" s="5">
        <v>34710.1</v>
      </c>
      <c r="G35" s="5">
        <v>37940.519999999997</v>
      </c>
    </row>
    <row r="36" spans="2:7" ht="18.75" x14ac:dyDescent="0.25">
      <c r="B36" s="8" t="s">
        <v>37</v>
      </c>
      <c r="C36" s="5">
        <v>6443.85</v>
      </c>
      <c r="D36" s="5">
        <v>5583.93</v>
      </c>
      <c r="E36" s="5">
        <v>6617.98</v>
      </c>
      <c r="F36" s="5">
        <v>8947.4699999999993</v>
      </c>
      <c r="G36" s="5">
        <v>7075.68</v>
      </c>
    </row>
    <row r="37" spans="2:7" ht="18.75" x14ac:dyDescent="0.25">
      <c r="B37" s="8" t="s">
        <v>38</v>
      </c>
      <c r="C37" s="5">
        <v>8689.16</v>
      </c>
      <c r="D37" s="5">
        <v>5498.55</v>
      </c>
      <c r="E37" s="5">
        <v>14408.22</v>
      </c>
      <c r="F37" s="5">
        <v>19623.12</v>
      </c>
      <c r="G37" s="5">
        <v>11367.68</v>
      </c>
    </row>
    <row r="38" spans="2:7" ht="18.75" x14ac:dyDescent="0.25">
      <c r="B38" s="8" t="s">
        <v>39</v>
      </c>
      <c r="C38" s="5">
        <v>31475.07</v>
      </c>
      <c r="D38" s="5">
        <f>'CashFlow Statement'!D48+C38</f>
        <v>33842.689999999988</v>
      </c>
      <c r="E38" s="5">
        <f>'CashFlow Statement'!E48+D38</f>
        <v>28822.309999999983</v>
      </c>
      <c r="F38" s="5">
        <f>'CashFlow Statement'!F48+E38</f>
        <v>13883.05</v>
      </c>
      <c r="G38" s="5">
        <f>'CashFlow Statement'!G48+F38</f>
        <v>38662.270000000004</v>
      </c>
    </row>
    <row r="39" spans="2:7" ht="18.75" x14ac:dyDescent="0.25">
      <c r="B39" s="9" t="s">
        <v>42</v>
      </c>
      <c r="C39" s="7">
        <f>C31+C32+C33+C34+C35+C36+C37+C38</f>
        <v>88119.26999999999</v>
      </c>
      <c r="D39" s="7">
        <f t="shared" ref="D39:G39" si="7">D31+D32+D33+D34+D35+D36+D37+D38</f>
        <v>89993.729999999981</v>
      </c>
      <c r="E39" s="7">
        <f t="shared" si="7"/>
        <v>103616.09999999999</v>
      </c>
      <c r="F39" s="7">
        <f t="shared" si="7"/>
        <v>99507.159999999989</v>
      </c>
      <c r="G39" s="7">
        <f t="shared" si="7"/>
        <v>120445.67</v>
      </c>
    </row>
    <row r="40" spans="2:7" ht="18.75" x14ac:dyDescent="0.25">
      <c r="B40" s="9" t="s">
        <v>43</v>
      </c>
      <c r="C40" s="7">
        <f>C30+C39</f>
        <v>127491.72999999998</v>
      </c>
      <c r="D40" s="7">
        <f t="shared" ref="D40:G40" si="8">D30+D39</f>
        <v>127911.51999999999</v>
      </c>
      <c r="E40" s="7">
        <f t="shared" si="8"/>
        <v>139299.34999999998</v>
      </c>
      <c r="F40" s="7">
        <f t="shared" si="8"/>
        <v>143050.34</v>
      </c>
      <c r="G40" s="7">
        <f t="shared" si="8"/>
        <v>174687.35999999999</v>
      </c>
    </row>
  </sheetData>
  <mergeCells count="1">
    <mergeCell ref="B3:G3"/>
  </mergeCells>
  <pageMargins left="0.7" right="0.7" top="0.75" bottom="0.75" header="0.3" footer="0.3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A43E53-963A-4AC5-9ADE-D50CB4845F26}">
  <dimension ref="B4:G6"/>
  <sheetViews>
    <sheetView showGridLines="0" workbookViewId="0">
      <selection activeCell="B4" sqref="B4"/>
    </sheetView>
  </sheetViews>
  <sheetFormatPr defaultRowHeight="15" x14ac:dyDescent="0.25"/>
  <cols>
    <col min="2" max="2" width="22.5703125" bestFit="1" customWidth="1"/>
    <col min="3" max="7" width="14.85546875" bestFit="1" customWidth="1"/>
  </cols>
  <sheetData>
    <row r="4" spans="2:7" ht="18.75" x14ac:dyDescent="0.25">
      <c r="B4" s="13" t="s">
        <v>202</v>
      </c>
      <c r="C4" s="13">
        <f>'Balance Sheet'!C4</f>
        <v>2018</v>
      </c>
      <c r="D4" s="13">
        <f>'Balance Sheet'!D4</f>
        <v>2019</v>
      </c>
      <c r="E4" s="13">
        <f>'Balance Sheet'!E4</f>
        <v>2020</v>
      </c>
      <c r="F4" s="13">
        <f>'Balance Sheet'!F4</f>
        <v>2021</v>
      </c>
      <c r="G4" s="13">
        <f>'Balance Sheet'!G4</f>
        <v>2022</v>
      </c>
    </row>
    <row r="5" spans="2:7" ht="18.75" x14ac:dyDescent="0.25">
      <c r="B5" s="15" t="str">
        <f>'Balance Sheet'!B21</f>
        <v>Total Liabilities</v>
      </c>
      <c r="C5" s="16">
        <f>'Balance Sheet'!C21</f>
        <v>127491.73</v>
      </c>
      <c r="D5" s="16">
        <f>'Balance Sheet'!D21</f>
        <v>127911.51999999997</v>
      </c>
      <c r="E5" s="16">
        <f>'Balance Sheet'!E21</f>
        <v>139299.34999999998</v>
      </c>
      <c r="F5" s="16">
        <f>'Balance Sheet'!F21</f>
        <v>143050.34</v>
      </c>
      <c r="G5" s="16">
        <f>'Balance Sheet'!G21</f>
        <v>174687.36000000002</v>
      </c>
    </row>
    <row r="6" spans="2:7" ht="18.75" x14ac:dyDescent="0.25">
      <c r="B6" s="15" t="str">
        <f>'Balance Sheet'!B13</f>
        <v>Total Debt</v>
      </c>
      <c r="C6" s="16">
        <f>'Balance Sheet'!C13</f>
        <v>1530.94</v>
      </c>
      <c r="D6" s="16">
        <f>'Balance Sheet'!D13</f>
        <v>2202.7399999999998</v>
      </c>
      <c r="E6" s="16">
        <f>'Balance Sheet'!E13</f>
        <v>6733.03</v>
      </c>
      <c r="F6" s="16">
        <f>'Balance Sheet'!F13</f>
        <v>6597.37</v>
      </c>
      <c r="G6" s="16">
        <f>'Balance Sheet'!G13</f>
        <v>4120.78</v>
      </c>
    </row>
  </sheetData>
  <pageMargins left="0.7" right="0.7" top="0.75" bottom="0.75" header="0.3" footer="0.3"/>
  <drawing r:id="rId1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576BB5-1CED-4623-B4E6-D6208F05FF82}">
  <dimension ref="B4:G6"/>
  <sheetViews>
    <sheetView showGridLines="0" workbookViewId="0">
      <selection activeCell="B4" sqref="B4"/>
    </sheetView>
  </sheetViews>
  <sheetFormatPr defaultRowHeight="15" x14ac:dyDescent="0.25"/>
  <cols>
    <col min="2" max="2" width="34.42578125" bestFit="1" customWidth="1"/>
    <col min="3" max="7" width="14.85546875" bestFit="1" customWidth="1"/>
  </cols>
  <sheetData>
    <row r="4" spans="2:7" ht="18.75" x14ac:dyDescent="0.25">
      <c r="B4" s="13" t="s">
        <v>202</v>
      </c>
      <c r="C4" s="13">
        <f>'Balance Sheet'!C4</f>
        <v>2018</v>
      </c>
      <c r="D4" s="13">
        <f>'Balance Sheet'!D4</f>
        <v>2019</v>
      </c>
      <c r="E4" s="13">
        <f>'Balance Sheet'!E4</f>
        <v>2020</v>
      </c>
      <c r="F4" s="13">
        <f>'Balance Sheet'!F4</f>
        <v>2021</v>
      </c>
      <c r="G4" s="13">
        <f>'Balance Sheet'!G4</f>
        <v>2022</v>
      </c>
    </row>
    <row r="5" spans="2:7" ht="18.75" x14ac:dyDescent="0.25">
      <c r="B5" s="15" t="str">
        <f>'Balance Sheet'!B21</f>
        <v>Total Liabilities</v>
      </c>
      <c r="C5" s="16">
        <f>'Balance Sheet'!C21</f>
        <v>127491.73</v>
      </c>
      <c r="D5" s="16">
        <f>'Balance Sheet'!D21</f>
        <v>127911.51999999997</v>
      </c>
      <c r="E5" s="16">
        <f>'Balance Sheet'!E21</f>
        <v>139299.34999999998</v>
      </c>
      <c r="F5" s="16">
        <f>'Balance Sheet'!F21</f>
        <v>143050.34</v>
      </c>
      <c r="G5" s="16">
        <f>'Balance Sheet'!G21</f>
        <v>174687.36000000002</v>
      </c>
    </row>
    <row r="6" spans="2:7" ht="18.75" x14ac:dyDescent="0.25">
      <c r="B6" s="15" t="str">
        <f>'Balance Sheet'!B19</f>
        <v>Total Current Liabilities</v>
      </c>
      <c r="C6" s="16">
        <f>'Balance Sheet'!C19</f>
        <v>105751.77</v>
      </c>
      <c r="D6" s="16">
        <f>'Balance Sheet'!D19</f>
        <v>103655.38999999998</v>
      </c>
      <c r="E6" s="16">
        <f>'Balance Sheet'!E19</f>
        <v>111043.45</v>
      </c>
      <c r="F6" s="16">
        <f>'Balance Sheet'!F19</f>
        <v>118223.88</v>
      </c>
      <c r="G6" s="16">
        <f>'Balance Sheet'!G19</f>
        <v>132305.72</v>
      </c>
    </row>
  </sheetData>
  <pageMargins left="0.7" right="0.7" top="0.75" bottom="0.75" header="0.3" footer="0.3"/>
  <drawing r:id="rId1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26DDB8-6239-4D1D-8A53-634358FE2631}">
  <dimension ref="B4:G6"/>
  <sheetViews>
    <sheetView showGridLines="0" workbookViewId="0">
      <selection activeCell="B4" sqref="B4"/>
    </sheetView>
  </sheetViews>
  <sheetFormatPr defaultRowHeight="15" x14ac:dyDescent="0.25"/>
  <cols>
    <col min="2" max="2" width="36" bestFit="1" customWidth="1"/>
    <col min="3" max="7" width="14.85546875" bestFit="1" customWidth="1"/>
  </cols>
  <sheetData>
    <row r="4" spans="2:7" ht="18.75" x14ac:dyDescent="0.25">
      <c r="B4" s="13" t="s">
        <v>202</v>
      </c>
      <c r="C4" s="13">
        <f>'Balance Sheet'!C4</f>
        <v>2018</v>
      </c>
      <c r="D4" s="13">
        <f>'Balance Sheet'!D4</f>
        <v>2019</v>
      </c>
      <c r="E4" s="13">
        <f>'Balance Sheet'!E4</f>
        <v>2020</v>
      </c>
      <c r="F4" s="13">
        <f>'Balance Sheet'!F4</f>
        <v>2021</v>
      </c>
      <c r="G4" s="13">
        <f>'Balance Sheet'!G4</f>
        <v>2022</v>
      </c>
    </row>
    <row r="5" spans="2:7" ht="18.75" x14ac:dyDescent="0.25">
      <c r="B5" s="15" t="str">
        <f>'Balance Sheet'!B40</f>
        <v>Total Assets</v>
      </c>
      <c r="C5" s="16">
        <f>'Balance Sheet'!C40</f>
        <v>127491.72999999998</v>
      </c>
      <c r="D5" s="16">
        <f>'Balance Sheet'!D40</f>
        <v>127911.51999999999</v>
      </c>
      <c r="E5" s="16">
        <f>'Balance Sheet'!E40</f>
        <v>139299.34999999998</v>
      </c>
      <c r="F5" s="16">
        <f>'Balance Sheet'!F40</f>
        <v>143050.34</v>
      </c>
      <c r="G5" s="16">
        <f>'Balance Sheet'!G40</f>
        <v>174687.35999999999</v>
      </c>
    </row>
    <row r="6" spans="2:7" ht="18.75" x14ac:dyDescent="0.25">
      <c r="B6" s="15" t="str">
        <f>'Balance Sheet'!B30</f>
        <v>Total Non Current Assets</v>
      </c>
      <c r="C6" s="16">
        <f>'Balance Sheet'!C30</f>
        <v>39372.46</v>
      </c>
      <c r="D6" s="16">
        <f>'Balance Sheet'!D30</f>
        <v>37917.79</v>
      </c>
      <c r="E6" s="16">
        <f>'Balance Sheet'!E30</f>
        <v>35683.25</v>
      </c>
      <c r="F6" s="16">
        <f>'Balance Sheet'!F30</f>
        <v>43543.180000000008</v>
      </c>
      <c r="G6" s="16">
        <f>'Balance Sheet'!G30</f>
        <v>54241.69</v>
      </c>
    </row>
  </sheetData>
  <pageMargins left="0.7" right="0.7" top="0.75" bottom="0.75" header="0.3" footer="0.3"/>
  <drawing r:id="rId1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292EFF-88DA-4F4C-A2C8-072F18E3ECA7}">
  <dimension ref="B4:G6"/>
  <sheetViews>
    <sheetView showGridLines="0" workbookViewId="0">
      <selection activeCell="B4" sqref="B4"/>
    </sheetView>
  </sheetViews>
  <sheetFormatPr defaultRowHeight="15" x14ac:dyDescent="0.25"/>
  <cols>
    <col min="2" max="2" width="29.42578125" bestFit="1" customWidth="1"/>
    <col min="3" max="7" width="14.85546875" bestFit="1" customWidth="1"/>
  </cols>
  <sheetData>
    <row r="4" spans="2:7" ht="18.75" x14ac:dyDescent="0.25">
      <c r="B4" s="13" t="s">
        <v>202</v>
      </c>
      <c r="C4" s="13">
        <f>'Balance Sheet'!C4</f>
        <v>2018</v>
      </c>
      <c r="D4" s="13">
        <f>'Balance Sheet'!D4</f>
        <v>2019</v>
      </c>
      <c r="E4" s="13">
        <f>'Balance Sheet'!E4</f>
        <v>2020</v>
      </c>
      <c r="F4" s="13">
        <f>'Balance Sheet'!F4</f>
        <v>2021</v>
      </c>
      <c r="G4" s="13">
        <f>'Balance Sheet'!G4</f>
        <v>2022</v>
      </c>
    </row>
    <row r="5" spans="2:7" ht="18.75" x14ac:dyDescent="0.25">
      <c r="B5" s="15" t="str">
        <f>'Balance Sheet'!B40</f>
        <v>Total Assets</v>
      </c>
      <c r="C5" s="16">
        <f>'Balance Sheet'!C40</f>
        <v>127491.72999999998</v>
      </c>
      <c r="D5" s="16">
        <f>'Balance Sheet'!D40</f>
        <v>127911.51999999999</v>
      </c>
      <c r="E5" s="16">
        <f>'Balance Sheet'!E40</f>
        <v>139299.34999999998</v>
      </c>
      <c r="F5" s="16">
        <f>'Balance Sheet'!F40</f>
        <v>143050.34</v>
      </c>
      <c r="G5" s="16">
        <f>'Balance Sheet'!G40</f>
        <v>174687.35999999999</v>
      </c>
    </row>
    <row r="6" spans="2:7" ht="18.75" x14ac:dyDescent="0.25">
      <c r="B6" s="15" t="str">
        <f>'Balance Sheet'!B39</f>
        <v>Total Current Assets</v>
      </c>
      <c r="C6" s="16">
        <f>'Balance Sheet'!C39</f>
        <v>88119.26999999999</v>
      </c>
      <c r="D6" s="16">
        <f>'Balance Sheet'!D39</f>
        <v>89993.729999999981</v>
      </c>
      <c r="E6" s="16">
        <f>'Balance Sheet'!E39</f>
        <v>103616.09999999999</v>
      </c>
      <c r="F6" s="16">
        <f>'Balance Sheet'!F39</f>
        <v>99507.159999999989</v>
      </c>
      <c r="G6" s="16">
        <f>'Balance Sheet'!G39</f>
        <v>120445.67</v>
      </c>
    </row>
  </sheetData>
  <pageMargins left="0.7" right="0.7" top="0.75" bottom="0.75" header="0.3" footer="0.3"/>
  <drawing r:id="rId1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72C9F1-C330-4D47-92A3-CCBE126D1739}">
  <dimension ref="B4:G6"/>
  <sheetViews>
    <sheetView showGridLines="0" workbookViewId="0">
      <selection activeCell="B4" sqref="B4"/>
    </sheetView>
  </sheetViews>
  <sheetFormatPr defaultRowHeight="15" x14ac:dyDescent="0.25"/>
  <cols>
    <col min="2" max="2" width="25.85546875" bestFit="1" customWidth="1"/>
    <col min="3" max="6" width="13.140625" bestFit="1" customWidth="1"/>
    <col min="7" max="7" width="14.85546875" bestFit="1" customWidth="1"/>
  </cols>
  <sheetData>
    <row r="4" spans="2:7" ht="18.75" x14ac:dyDescent="0.25">
      <c r="B4" s="13" t="s">
        <v>202</v>
      </c>
      <c r="C4" s="13">
        <f>'Balance Sheet'!C4</f>
        <v>2018</v>
      </c>
      <c r="D4" s="13">
        <f>'Balance Sheet'!D4</f>
        <v>2019</v>
      </c>
      <c r="E4" s="13">
        <f>'Balance Sheet'!E4</f>
        <v>2020</v>
      </c>
      <c r="F4" s="13">
        <f>'Balance Sheet'!F4</f>
        <v>2021</v>
      </c>
      <c r="G4" s="13">
        <f>'Balance Sheet'!G4</f>
        <v>2022</v>
      </c>
    </row>
    <row r="5" spans="2:7" ht="18.75" x14ac:dyDescent="0.25">
      <c r="B5" s="15" t="str">
        <f>'Income Statement'!B15</f>
        <v>Total Expenditure</v>
      </c>
      <c r="C5" s="16">
        <f>'Income Statement'!C15</f>
        <v>74243.5</v>
      </c>
      <c r="D5" s="16">
        <f>'Income Statement'!D15</f>
        <v>73597.8</v>
      </c>
      <c r="E5" s="16">
        <f>'Income Statement'!E15</f>
        <v>74994.47</v>
      </c>
      <c r="F5" s="16">
        <f>'Income Statement'!F15</f>
        <v>72479.360000000001</v>
      </c>
      <c r="G5" s="16">
        <f>'Income Statement'!G15</f>
        <v>82610.94</v>
      </c>
    </row>
    <row r="6" spans="2:7" ht="18.75" x14ac:dyDescent="0.25">
      <c r="B6" s="15" t="str">
        <f>'Income Statement'!B10</f>
        <v>Total Income</v>
      </c>
      <c r="C6" s="16">
        <f>'Income Statement'!C10</f>
        <v>86358.32</v>
      </c>
      <c r="D6" s="16">
        <f>'Income Statement'!D10</f>
        <v>98769.81</v>
      </c>
      <c r="E6" s="16">
        <f>'Income Statement'!E10</f>
        <v>95478.739999999991</v>
      </c>
      <c r="F6" s="16">
        <f>'Income Statement'!F10</f>
        <v>86502.700000000012</v>
      </c>
      <c r="G6" s="16">
        <f>'Income Statement'!G10</f>
        <v>113618.02</v>
      </c>
    </row>
  </sheetData>
  <pageMargins left="0.7" right="0.7" top="0.75" bottom="0.75" header="0.3" footer="0.3"/>
  <drawing r:id="rId1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189A9C-00AE-4347-ACFF-597A0573C035}">
  <dimension ref="B4:G6"/>
  <sheetViews>
    <sheetView showGridLines="0" tabSelected="1" workbookViewId="0">
      <selection activeCell="B4" sqref="B4"/>
    </sheetView>
  </sheetViews>
  <sheetFormatPr defaultRowHeight="15" x14ac:dyDescent="0.25"/>
  <cols>
    <col min="2" max="2" width="42.5703125" bestFit="1" customWidth="1"/>
    <col min="3" max="3" width="12.5703125" bestFit="1" customWidth="1"/>
    <col min="4" max="4" width="13.140625" bestFit="1" customWidth="1"/>
    <col min="5" max="5" width="11.5703125" bestFit="1" customWidth="1"/>
    <col min="6" max="6" width="12.5703125" bestFit="1" customWidth="1"/>
    <col min="7" max="7" width="13.140625" bestFit="1" customWidth="1"/>
  </cols>
  <sheetData>
    <row r="4" spans="2:7" ht="18.75" x14ac:dyDescent="0.25">
      <c r="B4" s="13" t="s">
        <v>202</v>
      </c>
      <c r="C4" s="13">
        <f>'Balance Sheet'!C4</f>
        <v>2018</v>
      </c>
      <c r="D4" s="13">
        <f>'Balance Sheet'!D4</f>
        <v>2019</v>
      </c>
      <c r="E4" s="13">
        <f>'Balance Sheet'!E4</f>
        <v>2020</v>
      </c>
      <c r="F4" s="13">
        <f>'Balance Sheet'!F4</f>
        <v>2021</v>
      </c>
      <c r="G4" s="13">
        <f>'Balance Sheet'!G4</f>
        <v>2022</v>
      </c>
    </row>
    <row r="5" spans="2:7" ht="18.75" x14ac:dyDescent="0.25">
      <c r="B5" s="15" t="str">
        <f>'Income Statement'!B30</f>
        <v>Amount C\F to Balance Sheet</v>
      </c>
      <c r="C5" s="16">
        <f>'Income Statement'!C30</f>
        <v>-7413.8199999999943</v>
      </c>
      <c r="D5" s="16">
        <f>'Income Statement'!D30</f>
        <v>1844.7199999999928</v>
      </c>
      <c r="E5" s="16">
        <f>'Income Statement'!E30</f>
        <v>-517.8200000000088</v>
      </c>
      <c r="F5" s="16">
        <f>'Income Statement'!F30</f>
        <v>-3340.7799999999888</v>
      </c>
      <c r="G5" s="16">
        <f>'Income Statement'!G30</f>
        <v>19799.060000000001</v>
      </c>
    </row>
    <row r="6" spans="2:7" ht="18.75" x14ac:dyDescent="0.25">
      <c r="B6" s="15" t="str">
        <f>'Income Statement'!B27</f>
        <v>Reported Net Profit(PAT)</v>
      </c>
      <c r="C6" s="16">
        <f>'Income Statement'!C27</f>
        <v>4909.9900000000052</v>
      </c>
      <c r="D6" s="16">
        <f>'Income Statement'!D27</f>
        <v>11784.159999999993</v>
      </c>
      <c r="E6" s="16">
        <f>'Income Statement'!E27</f>
        <v>9159.5299999999916</v>
      </c>
      <c r="F6" s="16">
        <f>'Income Statement'!F27</f>
        <v>4362.6600000000108</v>
      </c>
      <c r="G6" s="16">
        <f>'Income Statement'!G27</f>
        <v>19799.060000000001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8394DA-6445-4423-B575-9D3E4E265945}">
  <dimension ref="B3:G48"/>
  <sheetViews>
    <sheetView showGridLines="0" topLeftCell="A34" workbookViewId="0">
      <selection activeCell="D48" sqref="D48:G48"/>
    </sheetView>
  </sheetViews>
  <sheetFormatPr defaultRowHeight="15" x14ac:dyDescent="0.25"/>
  <cols>
    <col min="2" max="2" width="70.5703125" bestFit="1" customWidth="1"/>
    <col min="3" max="3" width="8.140625" bestFit="1" customWidth="1"/>
    <col min="4" max="5" width="14.85546875" bestFit="1" customWidth="1"/>
    <col min="6" max="7" width="16.5703125" bestFit="1" customWidth="1"/>
  </cols>
  <sheetData>
    <row r="3" spans="2:7" ht="18.75" x14ac:dyDescent="0.25">
      <c r="B3" s="10" t="s">
        <v>143</v>
      </c>
      <c r="C3" s="11"/>
      <c r="D3" s="11"/>
      <c r="E3" s="11"/>
      <c r="F3" s="11"/>
      <c r="G3" s="11"/>
    </row>
    <row r="4" spans="2:7" ht="18.75" x14ac:dyDescent="0.25">
      <c r="B4" s="12" t="s">
        <v>119</v>
      </c>
      <c r="C4" s="12">
        <v>2018</v>
      </c>
      <c r="D4" s="12">
        <v>2019</v>
      </c>
      <c r="E4" s="12">
        <v>2020</v>
      </c>
      <c r="F4" s="12">
        <v>2021</v>
      </c>
      <c r="G4" s="12">
        <v>2022</v>
      </c>
    </row>
    <row r="5" spans="2:7" ht="18.75" x14ac:dyDescent="0.25">
      <c r="B5" s="8" t="s">
        <v>129</v>
      </c>
      <c r="C5" s="4"/>
      <c r="D5" s="5">
        <f>'Income Statement'!D25</f>
        <v>21446.609999999993</v>
      </c>
      <c r="E5" s="5">
        <f>'Income Statement'!E25</f>
        <v>16530.509999999991</v>
      </c>
      <c r="F5" s="5">
        <f>'Income Statement'!F25</f>
        <v>9669.7300000000105</v>
      </c>
      <c r="G5" s="5">
        <f>'Income Statement'!G25</f>
        <v>26036.920000000002</v>
      </c>
    </row>
    <row r="6" spans="2:7" ht="18.75" x14ac:dyDescent="0.25">
      <c r="B6" s="8" t="s">
        <v>130</v>
      </c>
      <c r="C6" s="4"/>
      <c r="D6" s="4"/>
      <c r="E6" s="4"/>
      <c r="F6" s="4"/>
      <c r="G6" s="4"/>
    </row>
    <row r="7" spans="2:7" ht="18.75" x14ac:dyDescent="0.25">
      <c r="B7" s="8" t="s">
        <v>125</v>
      </c>
      <c r="C7" s="4"/>
      <c r="D7" s="5">
        <f>'Income Statement'!D18</f>
        <v>3450.36</v>
      </c>
      <c r="E7" s="5">
        <f>'Income Statement'!E18</f>
        <v>3450.84</v>
      </c>
      <c r="F7" s="5">
        <f>'Income Statement'!F18</f>
        <v>3708.92</v>
      </c>
      <c r="G7" s="5">
        <f>'Income Statement'!G18</f>
        <v>4428.67</v>
      </c>
    </row>
    <row r="8" spans="2:7" ht="18.75" x14ac:dyDescent="0.25">
      <c r="B8" s="8" t="s">
        <v>131</v>
      </c>
      <c r="C8" s="4"/>
      <c r="D8" s="4">
        <f>'Income Statement'!D20</f>
        <v>275.04000000000002</v>
      </c>
      <c r="E8" s="4">
        <f>'Income Statement'!E20</f>
        <v>502.92</v>
      </c>
      <c r="F8" s="4">
        <f>'Income Statement'!F20</f>
        <v>644.69000000000005</v>
      </c>
      <c r="G8" s="4">
        <f>'Income Statement'!G20</f>
        <v>541.49</v>
      </c>
    </row>
    <row r="9" spans="2:7" ht="18.75" x14ac:dyDescent="0.25">
      <c r="B9" s="8" t="s">
        <v>59</v>
      </c>
      <c r="C9" s="4"/>
      <c r="D9" s="5">
        <f>'Income Statement'!D8</f>
        <v>5873.73</v>
      </c>
      <c r="E9" s="5">
        <f>'Income Statement'!E8</f>
        <v>6105.4</v>
      </c>
      <c r="F9" s="5">
        <f>'Income Statement'!F8</f>
        <v>3792.38</v>
      </c>
      <c r="G9" s="5">
        <f>'Income Statement'!G8</f>
        <v>3904.52</v>
      </c>
    </row>
    <row r="10" spans="2:7" ht="18.75" x14ac:dyDescent="0.25">
      <c r="B10" s="9" t="s">
        <v>132</v>
      </c>
      <c r="C10" s="6"/>
      <c r="D10" s="7">
        <f>D7+D8-D9</f>
        <v>-2148.3299999999995</v>
      </c>
      <c r="E10" s="7">
        <f t="shared" ref="E10:G10" si="0">E7+E8-E9</f>
        <v>-2151.6399999999994</v>
      </c>
      <c r="F10" s="7">
        <f t="shared" si="0"/>
        <v>561.23000000000047</v>
      </c>
      <c r="G10" s="7">
        <f t="shared" si="0"/>
        <v>1065.6399999999999</v>
      </c>
    </row>
    <row r="11" spans="2:7" ht="18.75" x14ac:dyDescent="0.25">
      <c r="B11" s="8" t="s">
        <v>133</v>
      </c>
      <c r="C11" s="4"/>
      <c r="D11" s="4"/>
      <c r="E11" s="4"/>
      <c r="F11" s="4"/>
      <c r="G11" s="4"/>
    </row>
    <row r="12" spans="2:7" ht="18.75" x14ac:dyDescent="0.25">
      <c r="B12" s="8" t="str">
        <f>'Balance Sheet'!B31</f>
        <v>Deferred Tax Assets [Net]</v>
      </c>
      <c r="C12" s="4"/>
      <c r="D12" s="5">
        <f>'Balance Sheet'!C31-'Balance Sheet'!D31</f>
        <v>1085.8900000000003</v>
      </c>
      <c r="E12" s="5">
        <f>'Balance Sheet'!D31-'Balance Sheet'!E31</f>
        <v>651.14999999999964</v>
      </c>
      <c r="F12" s="5">
        <f>'Balance Sheet'!E31-'Balance Sheet'!F31</f>
        <v>-441.41999999999962</v>
      </c>
      <c r="G12" s="5">
        <f>'Balance Sheet'!F31-'Balance Sheet'!G31</f>
        <v>-78.660000000000309</v>
      </c>
    </row>
    <row r="13" spans="2:7" ht="18.75" x14ac:dyDescent="0.25">
      <c r="B13" s="8" t="str">
        <f>'Balance Sheet'!B32</f>
        <v>Long Term Loans And Advances</v>
      </c>
      <c r="C13" s="4"/>
      <c r="D13" s="4">
        <f>'Balance Sheet'!C32-'Balance Sheet'!D32</f>
        <v>-121.64999999999998</v>
      </c>
      <c r="E13" s="4">
        <f>'Balance Sheet'!D32-'Balance Sheet'!E32</f>
        <v>503.14</v>
      </c>
      <c r="F13" s="4">
        <f>'Balance Sheet'!E32-'Balance Sheet'!F32</f>
        <v>502.32000000000005</v>
      </c>
      <c r="G13" s="4">
        <f>'Balance Sheet'!F32-'Balance Sheet'!G32</f>
        <v>-217.11999999999998</v>
      </c>
    </row>
    <row r="14" spans="2:7" ht="18.75" x14ac:dyDescent="0.25">
      <c r="B14" s="8" t="str">
        <f>'Balance Sheet'!B33</f>
        <v>Other Non-Current Assets</v>
      </c>
      <c r="C14" s="4"/>
      <c r="D14" s="5">
        <f>'Balance Sheet'!C33-'Balance Sheet'!D33</f>
        <v>-1159.25</v>
      </c>
      <c r="E14" s="5">
        <f>'Balance Sheet'!D33-'Balance Sheet'!E33</f>
        <v>-1103.619999999999</v>
      </c>
      <c r="F14" s="5">
        <f>'Balance Sheet'!E33-'Balance Sheet'!F33</f>
        <v>-2248.1399999999994</v>
      </c>
      <c r="G14" s="5">
        <f>'Balance Sheet'!F33-'Balance Sheet'!G33</f>
        <v>-3261.3900000000031</v>
      </c>
    </row>
    <row r="15" spans="2:7" ht="18.75" x14ac:dyDescent="0.25">
      <c r="B15" s="8" t="str">
        <f>'Balance Sheet'!B34</f>
        <v>Short Term Loans And Advances</v>
      </c>
      <c r="C15" s="4"/>
      <c r="D15" s="4">
        <f>'Balance Sheet'!C34-'Balance Sheet'!D34</f>
        <v>-498.64</v>
      </c>
      <c r="E15" s="4">
        <f>'Balance Sheet'!D34-'Balance Sheet'!E34</f>
        <v>-0.31999999999999318</v>
      </c>
      <c r="F15" s="4">
        <f>'Balance Sheet'!E34-'Balance Sheet'!F34</f>
        <v>1.3700000000000045</v>
      </c>
      <c r="G15" s="4">
        <f>'Balance Sheet'!F34-'Balance Sheet'!G34</f>
        <v>501.07</v>
      </c>
    </row>
    <row r="16" spans="2:7" ht="18.75" x14ac:dyDescent="0.25">
      <c r="B16" s="8" t="str">
        <f>'Balance Sheet'!B35</f>
        <v>OtherCurrentAssets</v>
      </c>
      <c r="C16" s="4"/>
      <c r="D16" s="5">
        <f>'Balance Sheet'!C35-'Balance Sheet'!D35</f>
        <v>-2863.7200000000012</v>
      </c>
      <c r="E16" s="5">
        <f>'Balance Sheet'!D35-'Balance Sheet'!E35</f>
        <v>-8749.380000000001</v>
      </c>
      <c r="F16" s="5">
        <f>'Balance Sheet'!E35-'Balance Sheet'!F35</f>
        <v>-1100.0599999999977</v>
      </c>
      <c r="G16" s="5">
        <f>'Balance Sheet'!F35-'Balance Sheet'!G35</f>
        <v>-3230.4199999999983</v>
      </c>
    </row>
    <row r="17" spans="2:7" ht="18.75" x14ac:dyDescent="0.25">
      <c r="B17" s="8" t="str">
        <f>'Balance Sheet'!B36</f>
        <v>Inventories</v>
      </c>
      <c r="C17" s="4"/>
      <c r="D17" s="5">
        <f>'Balance Sheet'!C36-'Balance Sheet'!D36</f>
        <v>859.92000000000007</v>
      </c>
      <c r="E17" s="5">
        <f>'Balance Sheet'!D36-'Balance Sheet'!E36</f>
        <v>-1034.0499999999993</v>
      </c>
      <c r="F17" s="5">
        <f>'Balance Sheet'!E36-'Balance Sheet'!F36</f>
        <v>-2329.4899999999998</v>
      </c>
      <c r="G17" s="5">
        <f>'Balance Sheet'!F36-'Balance Sheet'!G36</f>
        <v>1871.7899999999991</v>
      </c>
    </row>
    <row r="18" spans="2:7" ht="18.75" x14ac:dyDescent="0.25">
      <c r="B18" s="8" t="str">
        <f>'Balance Sheet'!B37</f>
        <v>Trade Receivables</v>
      </c>
      <c r="C18" s="4"/>
      <c r="D18" s="5">
        <f>'Balance Sheet'!C37-'Balance Sheet'!D37</f>
        <v>3190.6099999999997</v>
      </c>
      <c r="E18" s="5">
        <f>'Balance Sheet'!D37-'Balance Sheet'!E37</f>
        <v>-8909.6699999999983</v>
      </c>
      <c r="F18" s="5">
        <f>'Balance Sheet'!E37-'Balance Sheet'!F37</f>
        <v>-5214.8999999999996</v>
      </c>
      <c r="G18" s="5">
        <f>'Balance Sheet'!F37-'Balance Sheet'!G37</f>
        <v>8255.4399999999987</v>
      </c>
    </row>
    <row r="19" spans="2:7" ht="18.75" x14ac:dyDescent="0.25">
      <c r="B19" s="8" t="s">
        <v>134</v>
      </c>
      <c r="C19" s="4"/>
      <c r="D19" s="4"/>
      <c r="E19" s="4"/>
      <c r="F19" s="4"/>
      <c r="G19" s="4"/>
    </row>
    <row r="20" spans="2:7" ht="18.75" x14ac:dyDescent="0.25">
      <c r="B20" s="8" t="str">
        <f>'Balance Sheet'!B14</f>
        <v>Long Term Provisions</v>
      </c>
      <c r="C20" s="4"/>
      <c r="D20" s="5">
        <f>'Balance Sheet'!D14-'Balance Sheet'!C14</f>
        <v>2516.4599999999991</v>
      </c>
      <c r="E20" s="5">
        <f>'Balance Sheet'!E14-'Balance Sheet'!D14</f>
        <v>7803.8899999999994</v>
      </c>
      <c r="F20" s="5">
        <f>'Balance Sheet'!F14-'Balance Sheet'!E14</f>
        <v>2955.1600000000035</v>
      </c>
      <c r="G20" s="5">
        <f>'Balance Sheet'!G14-'Balance Sheet'!F14</f>
        <v>2765.3899999999994</v>
      </c>
    </row>
    <row r="21" spans="2:7" ht="18.75" x14ac:dyDescent="0.25">
      <c r="B21" s="8" t="str">
        <f>'Balance Sheet'!B15</f>
        <v>Short Term Provisions</v>
      </c>
      <c r="C21" s="4"/>
      <c r="D21" s="5">
        <f>'Balance Sheet'!D15-'Balance Sheet'!C15</f>
        <v>-7677.1500000000005</v>
      </c>
      <c r="E21" s="5">
        <f>'Balance Sheet'!E15-'Balance Sheet'!D15</f>
        <v>-355</v>
      </c>
      <c r="F21" s="5">
        <f>'Balance Sheet'!F15-'Balance Sheet'!E15</f>
        <v>-315.53999999999996</v>
      </c>
      <c r="G21" s="5">
        <f>'Balance Sheet'!G15-'Balance Sheet'!F15</f>
        <v>-371.21999999999935</v>
      </c>
    </row>
    <row r="22" spans="2:7" ht="18.75" x14ac:dyDescent="0.25">
      <c r="B22" s="8" t="str">
        <f>'Balance Sheet'!B16</f>
        <v>Other Long Term Liabilities</v>
      </c>
      <c r="C22" s="4"/>
      <c r="D22" s="5">
        <f>'Balance Sheet'!D16-'Balance Sheet'!C16</f>
        <v>623.98999999999978</v>
      </c>
      <c r="E22" s="5">
        <f>'Balance Sheet'!E16-'Balance Sheet'!D16</f>
        <v>30.199999999999818</v>
      </c>
      <c r="F22" s="5">
        <f>'Balance Sheet'!F16-'Balance Sheet'!E16</f>
        <v>405.28000000000065</v>
      </c>
      <c r="G22" s="5">
        <f>'Balance Sheet'!G16-'Balance Sheet'!F16</f>
        <v>2377.4300000000003</v>
      </c>
    </row>
    <row r="23" spans="2:7" ht="18.75" x14ac:dyDescent="0.25">
      <c r="B23" s="8" t="str">
        <f>'Balance Sheet'!B17</f>
        <v>Trade Payables</v>
      </c>
      <c r="C23" s="4"/>
      <c r="D23" s="5">
        <f>'Balance Sheet'!D17-'Balance Sheet'!C17</f>
        <v>2298.58</v>
      </c>
      <c r="E23" s="5">
        <f>'Balance Sheet'!E17-'Balance Sheet'!D17</f>
        <v>435.44999999999982</v>
      </c>
      <c r="F23" s="5">
        <f>'Balance Sheet'!F17-'Balance Sheet'!E17</f>
        <v>386.67000000000007</v>
      </c>
      <c r="G23" s="5">
        <f>'Balance Sheet'!G17-'Balance Sheet'!F17</f>
        <v>954.15000000000055</v>
      </c>
    </row>
    <row r="24" spans="2:7" ht="18.75" x14ac:dyDescent="0.25">
      <c r="B24" s="8" t="str">
        <f>'Balance Sheet'!B18</f>
        <v>Other Current Liabilities</v>
      </c>
      <c r="C24" s="4"/>
      <c r="D24" s="5">
        <f>'Balance Sheet'!D18-'Balance Sheet'!C18</f>
        <v>141.73999999999796</v>
      </c>
      <c r="E24" s="5">
        <f>'Balance Sheet'!E18-'Balance Sheet'!D18</f>
        <v>-526.47999999999956</v>
      </c>
      <c r="F24" s="5">
        <f>'Balance Sheet'!F18-'Balance Sheet'!E18</f>
        <v>3748.8600000000006</v>
      </c>
      <c r="G24" s="5">
        <f>'Balance Sheet'!G18-'Balance Sheet'!F18</f>
        <v>8356.0900000000038</v>
      </c>
    </row>
    <row r="25" spans="2:7" ht="18.75" x14ac:dyDescent="0.25">
      <c r="B25" s="8" t="s">
        <v>103</v>
      </c>
      <c r="C25" s="4"/>
      <c r="D25" s="4"/>
      <c r="E25" s="4"/>
      <c r="F25" s="4"/>
      <c r="G25" s="4"/>
    </row>
    <row r="26" spans="2:7" ht="18.75" x14ac:dyDescent="0.25">
      <c r="B26" s="8" t="str">
        <f>'Income Statement'!B26</f>
        <v>Total Tax Expenses</v>
      </c>
      <c r="C26" s="4"/>
      <c r="D26" s="5">
        <f>'Income Statement'!D26</f>
        <v>9662.4500000000007</v>
      </c>
      <c r="E26" s="5">
        <f>'Income Statement'!E26</f>
        <v>7370.98</v>
      </c>
      <c r="F26" s="5">
        <f>'Income Statement'!F26</f>
        <v>5307.07</v>
      </c>
      <c r="G26" s="5">
        <f>'Income Statement'!G26</f>
        <v>6237.86</v>
      </c>
    </row>
    <row r="27" spans="2:7" ht="18.75" x14ac:dyDescent="0.25">
      <c r="B27" s="9" t="s">
        <v>135</v>
      </c>
      <c r="C27" s="6"/>
      <c r="D27" s="7">
        <f>D12+D13+D14+D15+D16+D17+D18+D20+D21+D22+D23+D24-D26+D10+D5</f>
        <v>8032.6099999999878</v>
      </c>
      <c r="E27" s="7">
        <f t="shared" ref="E27:G27" si="1">E12+E13+E14+E15+E16+E17+E18+E20+E21+E22+E23+E24-E26+E10+E5</f>
        <v>-4246.8000000000065</v>
      </c>
      <c r="F27" s="7">
        <f t="shared" si="1"/>
        <v>1274.0000000000182</v>
      </c>
      <c r="G27" s="7">
        <f t="shared" si="1"/>
        <v>38787.25</v>
      </c>
    </row>
    <row r="28" spans="2:7" ht="18.75" x14ac:dyDescent="0.25">
      <c r="B28" s="8" t="s">
        <v>136</v>
      </c>
      <c r="C28" s="4"/>
      <c r="D28" s="4"/>
      <c r="E28" s="4"/>
      <c r="F28" s="4"/>
      <c r="G28" s="4"/>
    </row>
    <row r="29" spans="2:7" ht="18.75" x14ac:dyDescent="0.25">
      <c r="B29" s="8" t="str">
        <f>'Balance Sheet'!B23</f>
        <v>Tangible Assets</v>
      </c>
      <c r="C29" s="4"/>
      <c r="D29" s="5">
        <f>'Balance Sheet'!C23-'Balance Sheet'!D23</f>
        <v>-4475.760000000002</v>
      </c>
      <c r="E29" s="5">
        <f>'Balance Sheet'!D23-'Balance Sheet'!E23</f>
        <v>-3763.2899999999972</v>
      </c>
      <c r="F29" s="5">
        <f>'Balance Sheet'!E23-'Balance Sheet'!F23</f>
        <v>-5451.3000000000029</v>
      </c>
      <c r="G29" s="5">
        <f>'Balance Sheet'!F23-'Balance Sheet'!G23</f>
        <v>-21820.449999999997</v>
      </c>
    </row>
    <row r="30" spans="2:7" ht="18.75" x14ac:dyDescent="0.25">
      <c r="B30" s="8" t="str">
        <f>'Balance Sheet'!B24</f>
        <v>Intangible Assets</v>
      </c>
      <c r="C30" s="4"/>
      <c r="D30" s="4">
        <f>'Balance Sheet'!C24-'Balance Sheet'!D24</f>
        <v>-5.6499999999999986</v>
      </c>
      <c r="E30" s="4">
        <f>'Balance Sheet'!D24-'Balance Sheet'!E24</f>
        <v>-2.9600000000000009</v>
      </c>
      <c r="F30" s="4">
        <f>'Balance Sheet'!E24-'Balance Sheet'!F24</f>
        <v>-7.6199999999999974</v>
      </c>
      <c r="G30" s="4">
        <f>'Balance Sheet'!F24-'Balance Sheet'!G24</f>
        <v>45.76</v>
      </c>
    </row>
    <row r="31" spans="2:7" ht="18.75" x14ac:dyDescent="0.25">
      <c r="B31" s="8" t="str">
        <f>'Balance Sheet'!B27</f>
        <v>Non-Current Investments</v>
      </c>
      <c r="C31" s="4"/>
      <c r="D31" s="5">
        <f>'Balance Sheet'!C27-'Balance Sheet'!D27</f>
        <v>-117.95000000000005</v>
      </c>
      <c r="E31" s="5">
        <f>'Balance Sheet'!D27-'Balance Sheet'!E27</f>
        <v>-452.16000000000008</v>
      </c>
      <c r="F31" s="5">
        <f>'Balance Sheet'!E27-'Balance Sheet'!F27</f>
        <v>-444.4699999999998</v>
      </c>
      <c r="G31" s="5">
        <f>'Balance Sheet'!F27-'Balance Sheet'!G27</f>
        <v>-109.32999999999993</v>
      </c>
    </row>
    <row r="32" spans="2:7" ht="18.75" x14ac:dyDescent="0.25">
      <c r="B32" s="8" t="str">
        <f>'Balance Sheet'!B28</f>
        <v>Current Investments</v>
      </c>
      <c r="C32" s="4"/>
      <c r="D32" s="5">
        <f>'Balance Sheet'!C28-'Balance Sheet'!D28</f>
        <v>-1544.39</v>
      </c>
      <c r="E32" s="5">
        <f>'Balance Sheet'!D28-'Balance Sheet'!E28</f>
        <v>1650.26</v>
      </c>
      <c r="F32" s="5">
        <f>'Balance Sheet'!E28-'Balance Sheet'!F28</f>
        <v>-3532.8900000000003</v>
      </c>
      <c r="G32" s="5">
        <f>'Balance Sheet'!F28-'Balance Sheet'!G28</f>
        <v>-3646.8199999999997</v>
      </c>
    </row>
    <row r="33" spans="2:7" ht="18.75" x14ac:dyDescent="0.25">
      <c r="B33" s="8" t="str">
        <f>'Balance Sheet'!B29</f>
        <v>Capital Work-In-Progress</v>
      </c>
      <c r="C33" s="4"/>
      <c r="D33" s="5">
        <f>'Balance Sheet'!C29-'Balance Sheet'!D29</f>
        <v>4148.0599999999995</v>
      </c>
      <c r="E33" s="5">
        <f>'Balance Sheet'!D29-'Balance Sheet'!E29</f>
        <v>1351.8500000000004</v>
      </c>
      <c r="F33" s="5">
        <f>'Balance Sheet'!E29-'Balance Sheet'!F29</f>
        <v>-2132.5699999999997</v>
      </c>
      <c r="G33" s="5">
        <f>'Balance Sheet'!F29-'Balance Sheet'!G29</f>
        <v>10403.66</v>
      </c>
    </row>
    <row r="34" spans="2:7" ht="18.75" x14ac:dyDescent="0.25">
      <c r="B34" s="8" t="s">
        <v>59</v>
      </c>
      <c r="C34" s="4"/>
      <c r="D34" s="5">
        <f>'Income Statement'!D8</f>
        <v>5873.73</v>
      </c>
      <c r="E34" s="5">
        <f>'Income Statement'!E8</f>
        <v>6105.4</v>
      </c>
      <c r="F34" s="5">
        <f>'Income Statement'!F8</f>
        <v>3792.38</v>
      </c>
      <c r="G34" s="5">
        <f>'Income Statement'!G8</f>
        <v>3904.52</v>
      </c>
    </row>
    <row r="35" spans="2:7" ht="18.75" x14ac:dyDescent="0.25">
      <c r="B35" s="9" t="s">
        <v>137</v>
      </c>
      <c r="C35" s="6"/>
      <c r="D35" s="7">
        <f>D29+D30+D31+D32+D33+D34</f>
        <v>3878.0399999999972</v>
      </c>
      <c r="E35" s="7">
        <f t="shared" ref="E35:G35" si="2">E29+E30+E31+E32+E33+E34</f>
        <v>4889.1000000000031</v>
      </c>
      <c r="F35" s="7">
        <f t="shared" si="2"/>
        <v>-7776.4700000000021</v>
      </c>
      <c r="G35" s="7">
        <f t="shared" si="2"/>
        <v>-11222.659999999996</v>
      </c>
    </row>
    <row r="36" spans="2:7" ht="18.75" x14ac:dyDescent="0.25">
      <c r="B36" s="8" t="s">
        <v>138</v>
      </c>
      <c r="C36" s="4"/>
      <c r="D36" s="4"/>
      <c r="E36" s="4"/>
      <c r="F36" s="4"/>
      <c r="G36" s="4"/>
    </row>
    <row r="37" spans="2:7" ht="18.75" x14ac:dyDescent="0.25">
      <c r="B37" s="8" t="str">
        <f>'Balance Sheet'!B5</f>
        <v>Equity Share Capital</v>
      </c>
      <c r="C37" s="4"/>
      <c r="D37" s="5">
        <f>'Balance Sheet'!D5-'Balance Sheet'!C5</f>
        <v>-44.680000000000291</v>
      </c>
      <c r="E37" s="5">
        <f>'Balance Sheet'!E5-'Balance Sheet'!D5</f>
        <v>0</v>
      </c>
      <c r="F37" s="5">
        <f>'Balance Sheet'!F5-'Balance Sheet'!E5</f>
        <v>0</v>
      </c>
      <c r="G37" s="5">
        <f>'Balance Sheet'!G5-'Balance Sheet'!F5</f>
        <v>0</v>
      </c>
    </row>
    <row r="38" spans="2:7" ht="18.75" x14ac:dyDescent="0.25">
      <c r="B38" s="8" t="str">
        <f>'Balance Sheet'!B6</f>
        <v>Preference Share Capital</v>
      </c>
      <c r="C38" s="4"/>
      <c r="D38" s="4">
        <f>'Balance Sheet'!D6-'Balance Sheet'!C6</f>
        <v>0</v>
      </c>
      <c r="E38" s="4">
        <f>'Balance Sheet'!E6-'Balance Sheet'!D6</f>
        <v>0</v>
      </c>
      <c r="F38" s="4">
        <f>'Balance Sheet'!F6-'Balance Sheet'!E6</f>
        <v>0</v>
      </c>
      <c r="G38" s="4">
        <f>'Balance Sheet'!G6-'Balance Sheet'!F6</f>
        <v>0</v>
      </c>
    </row>
    <row r="39" spans="2:7" ht="18.75" x14ac:dyDescent="0.25">
      <c r="B39" s="8" t="str">
        <f>'Balance Sheet'!B10</f>
        <v>Long Term Borrowings</v>
      </c>
      <c r="C39" s="4"/>
      <c r="D39" s="5">
        <f>'Balance Sheet'!D10-'Balance Sheet'!C10</f>
        <v>417.86999999999989</v>
      </c>
      <c r="E39" s="5">
        <f>'Balance Sheet'!E10-'Balance Sheet'!D10</f>
        <v>521.11000000000013</v>
      </c>
      <c r="F39" s="5">
        <f>'Balance Sheet'!F10-'Balance Sheet'!E10</f>
        <v>694.7199999999998</v>
      </c>
      <c r="G39" s="5">
        <f>'Balance Sheet'!G10-'Balance Sheet'!F10</f>
        <v>613.68000000000029</v>
      </c>
    </row>
    <row r="40" spans="2:7" ht="18.75" x14ac:dyDescent="0.25">
      <c r="B40" s="8" t="str">
        <f>'Balance Sheet'!B11</f>
        <v>Deferred Tax Liabilities [Net]</v>
      </c>
      <c r="C40" s="4"/>
      <c r="D40" s="4">
        <f>'Balance Sheet'!D11-'Balance Sheet'!C11</f>
        <v>0</v>
      </c>
      <c r="E40" s="4">
        <f>'Balance Sheet'!E11-'Balance Sheet'!D11</f>
        <v>307.04000000000002</v>
      </c>
      <c r="F40" s="4">
        <f>'Balance Sheet'!F11-'Balance Sheet'!E11</f>
        <v>415.03000000000003</v>
      </c>
      <c r="G40" s="4">
        <f>'Balance Sheet'!G11-'Balance Sheet'!F11</f>
        <v>88.949999999999932</v>
      </c>
    </row>
    <row r="41" spans="2:7" ht="18.75" x14ac:dyDescent="0.25">
      <c r="B41" s="8" t="str">
        <f>'Balance Sheet'!B12</f>
        <v>Short Term Borrowings</v>
      </c>
      <c r="C41" s="4"/>
      <c r="D41" s="5">
        <f>'Balance Sheet'!D12-'Balance Sheet'!C12</f>
        <v>253.93</v>
      </c>
      <c r="E41" s="5">
        <f>'Balance Sheet'!E12-'Balance Sheet'!D12</f>
        <v>3702.1399999999994</v>
      </c>
      <c r="F41" s="5">
        <f>'Balance Sheet'!F12-'Balance Sheet'!E12</f>
        <v>-1245.4099999999999</v>
      </c>
      <c r="G41" s="5">
        <f>'Balance Sheet'!G12-'Balance Sheet'!F12</f>
        <v>-3179.22</v>
      </c>
    </row>
    <row r="42" spans="2:7" ht="18.75" x14ac:dyDescent="0.25">
      <c r="B42" s="8" t="str">
        <f>'Balance Sheet'!B20:G20</f>
        <v>Minority Interest</v>
      </c>
      <c r="C42" s="4"/>
      <c r="D42" s="4">
        <f>'Balance Sheet'!D20-'Balance Sheet'!C20</f>
        <v>44.329999999999984</v>
      </c>
      <c r="E42" s="4">
        <f>'Balance Sheet'!E20-'Balance Sheet'!D20</f>
        <v>-12.699999999999989</v>
      </c>
      <c r="F42" s="4">
        <f>'Balance Sheet'!F20-'Balance Sheet'!E20</f>
        <v>47</v>
      </c>
      <c r="G42" s="4">
        <f>'Balance Sheet'!G20-'Balance Sheet'!F20</f>
        <v>232.70999999999998</v>
      </c>
    </row>
    <row r="43" spans="2:7" ht="18.75" x14ac:dyDescent="0.25">
      <c r="B43" s="8" t="s">
        <v>139</v>
      </c>
      <c r="C43" s="4"/>
      <c r="D43" s="4"/>
      <c r="E43" s="4"/>
      <c r="F43" s="4"/>
      <c r="G43" s="4"/>
    </row>
    <row r="44" spans="2:7" ht="18.75" x14ac:dyDescent="0.25">
      <c r="B44" s="8" t="str">
        <f>'Income Statement'!B28</f>
        <v>Equity Share Dividend</v>
      </c>
      <c r="C44" s="4"/>
      <c r="D44" s="5">
        <f>'Income Statement'!D28</f>
        <v>8105.58</v>
      </c>
      <c r="E44" s="5">
        <f>'Income Statement'!E28</f>
        <v>7395.27</v>
      </c>
      <c r="F44" s="5">
        <f>'Income Statement'!F28</f>
        <v>7703.44</v>
      </c>
      <c r="G44" s="5">
        <f>'Income Statement'!G28</f>
        <v>0</v>
      </c>
    </row>
    <row r="45" spans="2:7" ht="18.75" x14ac:dyDescent="0.25">
      <c r="B45" s="8" t="str">
        <f>'Income Statement'!B29</f>
        <v>Tax On Dividend</v>
      </c>
      <c r="C45" s="4"/>
      <c r="D45" s="4">
        <f>'Income Statement'!D29</f>
        <v>1833.86</v>
      </c>
      <c r="E45" s="4">
        <f>'Income Statement'!E29</f>
        <v>2282.08</v>
      </c>
      <c r="F45" s="4">
        <f>'Income Statement'!F29</f>
        <v>0</v>
      </c>
      <c r="G45" s="4">
        <f>'Income Statement'!G29</f>
        <v>0</v>
      </c>
    </row>
    <row r="46" spans="2:7" ht="18.75" x14ac:dyDescent="0.25">
      <c r="B46" s="8" t="s">
        <v>140</v>
      </c>
      <c r="C46" s="4"/>
      <c r="D46" s="4">
        <f>'Income Statement'!D20</f>
        <v>275.04000000000002</v>
      </c>
      <c r="E46" s="4">
        <f>'Income Statement'!E20</f>
        <v>502.92</v>
      </c>
      <c r="F46" s="4">
        <f>'Income Statement'!F20</f>
        <v>644.69000000000005</v>
      </c>
      <c r="G46" s="4">
        <f>'Income Statement'!G20</f>
        <v>541.49</v>
      </c>
    </row>
    <row r="47" spans="2:7" ht="18.75" x14ac:dyDescent="0.25">
      <c r="B47" s="9" t="s">
        <v>141</v>
      </c>
      <c r="C47" s="6"/>
      <c r="D47" s="7">
        <f>D37+D38+D39+D40+D41+D42-D44-D45-D46</f>
        <v>-9543.0300000000007</v>
      </c>
      <c r="E47" s="7">
        <f t="shared" ref="E47:G47" si="3">E37+E38+E39+E40+E41+E42-E44-E45-E46</f>
        <v>-5662.6800000000012</v>
      </c>
      <c r="F47" s="7">
        <f t="shared" si="3"/>
        <v>-8436.7899999999991</v>
      </c>
      <c r="G47" s="7">
        <f t="shared" si="3"/>
        <v>-2785.37</v>
      </c>
    </row>
    <row r="48" spans="2:7" ht="18.75" x14ac:dyDescent="0.25">
      <c r="B48" s="9" t="s">
        <v>142</v>
      </c>
      <c r="C48" s="6"/>
      <c r="D48" s="7">
        <f>D27+D35+D47</f>
        <v>2367.6199999999844</v>
      </c>
      <c r="E48" s="7">
        <f t="shared" ref="E48:G48" si="4">E27+E35+E47</f>
        <v>-5020.3800000000047</v>
      </c>
      <c r="F48" s="7">
        <f t="shared" si="4"/>
        <v>-14939.259999999984</v>
      </c>
      <c r="G48" s="7">
        <f t="shared" si="4"/>
        <v>24779.220000000005</v>
      </c>
    </row>
  </sheetData>
  <mergeCells count="1">
    <mergeCell ref="B3:G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72C6AB-06BE-45C2-B634-D0F7E91E752D}">
  <dimension ref="B3:L158"/>
  <sheetViews>
    <sheetView showGridLines="0" topLeftCell="A142" workbookViewId="0">
      <selection activeCell="I155" sqref="I155:L157"/>
    </sheetView>
  </sheetViews>
  <sheetFormatPr defaultRowHeight="15" x14ac:dyDescent="0.25"/>
  <cols>
    <col min="2" max="2" width="42.140625" bestFit="1" customWidth="1"/>
    <col min="3" max="6" width="15.140625" bestFit="1" customWidth="1"/>
    <col min="7" max="7" width="14.85546875" bestFit="1" customWidth="1"/>
  </cols>
  <sheetData>
    <row r="3" spans="2:12" ht="18.75" x14ac:dyDescent="0.25">
      <c r="B3" s="13" t="s">
        <v>144</v>
      </c>
      <c r="C3" s="13">
        <v>2018</v>
      </c>
      <c r="D3" s="13">
        <v>2019</v>
      </c>
      <c r="E3" s="13">
        <v>2020</v>
      </c>
      <c r="F3" s="13">
        <v>2021</v>
      </c>
      <c r="G3" s="13">
        <v>2022</v>
      </c>
    </row>
    <row r="5" spans="2:12" ht="19.5" thickBot="1" x14ac:dyDescent="0.3">
      <c r="B5" s="14" t="s">
        <v>145</v>
      </c>
      <c r="C5" s="14"/>
      <c r="D5" s="14"/>
      <c r="E5" s="14"/>
      <c r="F5" s="14"/>
      <c r="G5" s="14"/>
    </row>
    <row r="6" spans="2:12" ht="19.5" thickTop="1" x14ac:dyDescent="0.25">
      <c r="B6" s="15" t="str">
        <f>'Income Statement'!B27</f>
        <v>Reported Net Profit(PAT)</v>
      </c>
      <c r="C6" s="16">
        <f>'Income Statement'!C27</f>
        <v>4909.9900000000052</v>
      </c>
      <c r="D6" s="16">
        <f>'Income Statement'!D27</f>
        <v>11784.159999999993</v>
      </c>
      <c r="E6" s="16">
        <f>'Income Statement'!E27</f>
        <v>9159.5299999999916</v>
      </c>
      <c r="F6" s="16">
        <f>'Income Statement'!F27</f>
        <v>4362.6600000000108</v>
      </c>
      <c r="G6" s="16">
        <f>'Income Statement'!G27</f>
        <v>19799.060000000001</v>
      </c>
      <c r="I6" s="18"/>
      <c r="J6" s="19"/>
      <c r="K6" s="19"/>
      <c r="L6" s="20"/>
    </row>
    <row r="7" spans="2:12" ht="18.75" x14ac:dyDescent="0.25">
      <c r="B7" s="15" t="str">
        <f>'Income Statement'!B35</f>
        <v>Total Shares Outstanding(cr)</v>
      </c>
      <c r="C7" s="16">
        <f>'Income Statement'!C35</f>
        <v>446.36272727272774</v>
      </c>
      <c r="D7" s="16">
        <f>'Income Statement'!D35</f>
        <v>420.86285714285685</v>
      </c>
      <c r="E7" s="16">
        <f>'Income Statement'!E35</f>
        <v>339.24185185185155</v>
      </c>
      <c r="F7" s="16">
        <f>'Income Statement'!F35</f>
        <v>207.7457142857148</v>
      </c>
      <c r="G7" s="16">
        <f>'Income Statement'!G35</f>
        <v>707.10928571428576</v>
      </c>
      <c r="I7" s="21"/>
      <c r="J7" s="22"/>
      <c r="K7" s="22"/>
      <c r="L7" s="23"/>
    </row>
    <row r="8" spans="2:12" ht="19.5" thickBot="1" x14ac:dyDescent="0.3">
      <c r="B8" s="17" t="s">
        <v>146</v>
      </c>
      <c r="C8" s="17">
        <f>ROUND(C6/C7, 2)</f>
        <v>11</v>
      </c>
      <c r="D8" s="17">
        <f t="shared" ref="D8:G8" si="0">ROUND(D6/D7, 2)</f>
        <v>28</v>
      </c>
      <c r="E8" s="17">
        <f t="shared" si="0"/>
        <v>27</v>
      </c>
      <c r="F8" s="17">
        <f t="shared" si="0"/>
        <v>21</v>
      </c>
      <c r="G8" s="17">
        <f t="shared" si="0"/>
        <v>28</v>
      </c>
      <c r="I8" s="24"/>
      <c r="J8" s="25"/>
      <c r="K8" s="25"/>
      <c r="L8" s="26"/>
    </row>
    <row r="9" spans="2:12" ht="15.75" thickTop="1" x14ac:dyDescent="0.25"/>
    <row r="10" spans="2:12" ht="19.5" thickBot="1" x14ac:dyDescent="0.3">
      <c r="B10" s="14" t="s">
        <v>147</v>
      </c>
      <c r="C10" s="14"/>
      <c r="D10" s="14"/>
      <c r="E10" s="14"/>
      <c r="F10" s="14"/>
      <c r="G10" s="14"/>
    </row>
    <row r="11" spans="2:12" ht="19.5" thickTop="1" x14ac:dyDescent="0.25">
      <c r="B11" s="15" t="str">
        <f>'Income Statement'!B28</f>
        <v>Equity Share Dividend</v>
      </c>
      <c r="C11" s="16">
        <f>'Income Statement'!C28</f>
        <v>10242.24</v>
      </c>
      <c r="D11" s="16">
        <f>'Income Statement'!D28</f>
        <v>8105.58</v>
      </c>
      <c r="E11" s="16">
        <f>'Income Statement'!E28</f>
        <v>7395.27</v>
      </c>
      <c r="F11" s="16">
        <f>'Income Statement'!F28</f>
        <v>7703.44</v>
      </c>
      <c r="G11" s="16">
        <f>'Income Statement'!G28</f>
        <v>0</v>
      </c>
      <c r="I11" s="18"/>
      <c r="J11" s="19"/>
      <c r="K11" s="19"/>
      <c r="L11" s="20"/>
    </row>
    <row r="12" spans="2:12" ht="18.75" x14ac:dyDescent="0.25">
      <c r="B12" s="15" t="str">
        <f>'Income Statement'!B35</f>
        <v>Total Shares Outstanding(cr)</v>
      </c>
      <c r="C12" s="16">
        <f>'Income Statement'!C35</f>
        <v>446.36272727272774</v>
      </c>
      <c r="D12" s="16">
        <f>'Income Statement'!D35</f>
        <v>420.86285714285685</v>
      </c>
      <c r="E12" s="16">
        <f>'Income Statement'!E35</f>
        <v>339.24185185185155</v>
      </c>
      <c r="F12" s="16">
        <f>'Income Statement'!F35</f>
        <v>207.7457142857148</v>
      </c>
      <c r="G12" s="16">
        <f>'Income Statement'!G35</f>
        <v>707.10928571428576</v>
      </c>
      <c r="I12" s="21"/>
      <c r="J12" s="22"/>
      <c r="K12" s="22"/>
      <c r="L12" s="23"/>
    </row>
    <row r="13" spans="2:12" ht="19.5" thickBot="1" x14ac:dyDescent="0.3">
      <c r="B13" s="17" t="s">
        <v>148</v>
      </c>
      <c r="C13" s="17">
        <f>ROUND(C11/C12, 2)</f>
        <v>22.95</v>
      </c>
      <c r="D13" s="17">
        <f t="shared" ref="D13:G13" si="1">ROUND(D11/D12, 2)</f>
        <v>19.260000000000002</v>
      </c>
      <c r="E13" s="17">
        <f t="shared" si="1"/>
        <v>21.8</v>
      </c>
      <c r="F13" s="17">
        <f t="shared" si="1"/>
        <v>37.08</v>
      </c>
      <c r="G13" s="17">
        <f t="shared" si="1"/>
        <v>0</v>
      </c>
      <c r="I13" s="24"/>
      <c r="J13" s="25"/>
      <c r="K13" s="25"/>
      <c r="L13" s="26"/>
    </row>
    <row r="14" spans="2:12" ht="15.75" thickTop="1" x14ac:dyDescent="0.25"/>
    <row r="15" spans="2:12" ht="19.5" thickBot="1" x14ac:dyDescent="0.3">
      <c r="B15" s="14" t="s">
        <v>149</v>
      </c>
      <c r="C15" s="14"/>
      <c r="D15" s="14"/>
      <c r="E15" s="14"/>
      <c r="F15" s="14"/>
      <c r="G15" s="14"/>
    </row>
    <row r="16" spans="2:12" ht="19.5" thickTop="1" x14ac:dyDescent="0.25">
      <c r="B16" s="15" t="str">
        <f>'Balance Sheet'!B9</f>
        <v>Net Worth</v>
      </c>
      <c r="C16" s="16">
        <f>'Balance Sheet'!C9</f>
        <v>19846.57</v>
      </c>
      <c r="D16" s="16">
        <f>'Balance Sheet'!D9</f>
        <v>21646.609999999993</v>
      </c>
      <c r="E16" s="16">
        <f>'Balance Sheet'!E9</f>
        <v>21128.789999999983</v>
      </c>
      <c r="F16" s="16">
        <f>'Balance Sheet'!F9</f>
        <v>17788.009999999995</v>
      </c>
      <c r="G16" s="16">
        <f>'Balance Sheet'!G9</f>
        <v>37587.069999999992</v>
      </c>
      <c r="I16" s="18"/>
      <c r="J16" s="19"/>
      <c r="K16" s="19"/>
      <c r="L16" s="20"/>
    </row>
    <row r="17" spans="2:12" ht="18.75" x14ac:dyDescent="0.25">
      <c r="B17" s="15" t="str">
        <f>'Income Statement'!B35</f>
        <v>Total Shares Outstanding(cr)</v>
      </c>
      <c r="C17" s="16">
        <f>'Income Statement'!C35</f>
        <v>446.36272727272774</v>
      </c>
      <c r="D17" s="16">
        <f>'Income Statement'!D35</f>
        <v>420.86285714285685</v>
      </c>
      <c r="E17" s="16">
        <f>'Income Statement'!E35</f>
        <v>339.24185185185155</v>
      </c>
      <c r="F17" s="16">
        <f>'Income Statement'!F35</f>
        <v>207.7457142857148</v>
      </c>
      <c r="G17" s="16">
        <f>'Income Statement'!G35</f>
        <v>707.10928571428576</v>
      </c>
      <c r="I17" s="21"/>
      <c r="J17" s="22"/>
      <c r="K17" s="22"/>
      <c r="L17" s="23"/>
    </row>
    <row r="18" spans="2:12" ht="19.5" thickBot="1" x14ac:dyDescent="0.3">
      <c r="B18" s="17" t="s">
        <v>150</v>
      </c>
      <c r="C18" s="17">
        <f>ROUND(C16/C17, 2)</f>
        <v>44.46</v>
      </c>
      <c r="D18" s="17">
        <f t="shared" ref="D18:G18" si="2">ROUND(D16/D17, 2)</f>
        <v>51.43</v>
      </c>
      <c r="E18" s="17">
        <f t="shared" si="2"/>
        <v>62.28</v>
      </c>
      <c r="F18" s="17">
        <f t="shared" si="2"/>
        <v>85.62</v>
      </c>
      <c r="G18" s="17">
        <f t="shared" si="2"/>
        <v>53.16</v>
      </c>
      <c r="I18" s="24"/>
      <c r="J18" s="25"/>
      <c r="K18" s="25"/>
      <c r="L18" s="26"/>
    </row>
    <row r="19" spans="2:12" ht="15.75" thickTop="1" x14ac:dyDescent="0.25"/>
    <row r="20" spans="2:12" ht="18.75" x14ac:dyDescent="0.25">
      <c r="B20" s="14" t="s">
        <v>151</v>
      </c>
      <c r="C20" s="14"/>
      <c r="D20" s="14"/>
      <c r="E20" s="14"/>
      <c r="F20" s="14"/>
      <c r="G20" s="14"/>
    </row>
    <row r="21" spans="2:12" ht="18.75" x14ac:dyDescent="0.25">
      <c r="B21" s="15" t="str">
        <f>'Income Statement'!B28</f>
        <v>Equity Share Dividend</v>
      </c>
      <c r="C21" s="16">
        <f>'Income Statement'!C28</f>
        <v>10242.24</v>
      </c>
      <c r="D21" s="16">
        <f>'Income Statement'!D28</f>
        <v>8105.58</v>
      </c>
      <c r="E21" s="16">
        <f>'Income Statement'!E28</f>
        <v>7395.27</v>
      </c>
      <c r="F21" s="16">
        <f>'Income Statement'!F28</f>
        <v>7703.44</v>
      </c>
      <c r="G21" s="16">
        <f>'Income Statement'!G28</f>
        <v>0</v>
      </c>
    </row>
    <row r="22" spans="2:12" ht="18.75" x14ac:dyDescent="0.25">
      <c r="B22" s="15" t="str">
        <f>'Income Statement'!B35</f>
        <v>Total Shares Outstanding(cr)</v>
      </c>
      <c r="C22" s="16">
        <f>'Income Statement'!C35</f>
        <v>446.36272727272774</v>
      </c>
      <c r="D22" s="16">
        <f>'Income Statement'!D35</f>
        <v>420.86285714285685</v>
      </c>
      <c r="E22" s="16">
        <f>'Income Statement'!E35</f>
        <v>339.24185185185155</v>
      </c>
      <c r="F22" s="16">
        <f>'Income Statement'!F35</f>
        <v>207.7457142857148</v>
      </c>
      <c r="G22" s="16">
        <f>'Income Statement'!G35</f>
        <v>707.10928571428576</v>
      </c>
    </row>
    <row r="23" spans="2:12" ht="18.75" x14ac:dyDescent="0.25">
      <c r="B23" s="15" t="s">
        <v>148</v>
      </c>
      <c r="C23" s="16">
        <f>ROUND(C21/C22, 2)</f>
        <v>22.95</v>
      </c>
      <c r="D23" s="16">
        <f t="shared" ref="D23:G23" si="3">ROUND(D21/D22, 2)</f>
        <v>19.260000000000002</v>
      </c>
      <c r="E23" s="16">
        <f t="shared" si="3"/>
        <v>21.8</v>
      </c>
      <c r="F23" s="16">
        <f t="shared" si="3"/>
        <v>37.08</v>
      </c>
      <c r="G23" s="16">
        <f t="shared" si="3"/>
        <v>0</v>
      </c>
    </row>
    <row r="24" spans="2:12" ht="19.5" thickBot="1" x14ac:dyDescent="0.3">
      <c r="B24" s="15" t="str">
        <f>'Income Statement'!B27</f>
        <v>Reported Net Profit(PAT)</v>
      </c>
      <c r="C24" s="16">
        <f>'Income Statement'!C27</f>
        <v>4909.9900000000052</v>
      </c>
      <c r="D24" s="16">
        <f>'Income Statement'!D27</f>
        <v>11784.159999999993</v>
      </c>
      <c r="E24" s="16">
        <f>'Income Statement'!E27</f>
        <v>9159.5299999999916</v>
      </c>
      <c r="F24" s="16">
        <f>'Income Statement'!F27</f>
        <v>4362.6600000000108</v>
      </c>
      <c r="G24" s="16">
        <f>'Income Statement'!G27</f>
        <v>19799.060000000001</v>
      </c>
    </row>
    <row r="25" spans="2:12" ht="19.5" thickTop="1" x14ac:dyDescent="0.25">
      <c r="B25" s="15" t="str">
        <f>'Income Statement'!B35</f>
        <v>Total Shares Outstanding(cr)</v>
      </c>
      <c r="C25" s="16">
        <f>'Income Statement'!C35</f>
        <v>446.36272727272774</v>
      </c>
      <c r="D25" s="16">
        <f>'Income Statement'!D35</f>
        <v>420.86285714285685</v>
      </c>
      <c r="E25" s="16">
        <f>'Income Statement'!E35</f>
        <v>339.24185185185155</v>
      </c>
      <c r="F25" s="16">
        <f>'Income Statement'!F35</f>
        <v>207.7457142857148</v>
      </c>
      <c r="G25" s="16">
        <f>'Income Statement'!G35</f>
        <v>707.10928571428576</v>
      </c>
      <c r="I25" s="18"/>
      <c r="J25" s="19"/>
      <c r="K25" s="19"/>
      <c r="L25" s="20"/>
    </row>
    <row r="26" spans="2:12" ht="18.75" x14ac:dyDescent="0.25">
      <c r="B26" s="15" t="s">
        <v>146</v>
      </c>
      <c r="C26" s="16">
        <f>C24/C25</f>
        <v>11</v>
      </c>
      <c r="D26" s="16">
        <f t="shared" ref="D26:G26" si="4">D24/D25</f>
        <v>28</v>
      </c>
      <c r="E26" s="16">
        <f t="shared" si="4"/>
        <v>27</v>
      </c>
      <c r="F26" s="16">
        <f t="shared" si="4"/>
        <v>21</v>
      </c>
      <c r="G26" s="16">
        <f t="shared" si="4"/>
        <v>28</v>
      </c>
      <c r="I26" s="21"/>
      <c r="J26" s="22"/>
      <c r="K26" s="22"/>
      <c r="L26" s="23"/>
    </row>
    <row r="27" spans="2:12" ht="19.5" thickBot="1" x14ac:dyDescent="0.3">
      <c r="B27" s="17" t="s">
        <v>152</v>
      </c>
      <c r="C27" s="17">
        <f>ROUND(C23/C26, 2)</f>
        <v>2.09</v>
      </c>
      <c r="D27" s="17">
        <f t="shared" ref="D27:G27" si="5">ROUND(D23/D26, 2)</f>
        <v>0.69</v>
      </c>
      <c r="E27" s="17">
        <f t="shared" si="5"/>
        <v>0.81</v>
      </c>
      <c r="F27" s="17">
        <f t="shared" si="5"/>
        <v>1.77</v>
      </c>
      <c r="G27" s="17">
        <f t="shared" si="5"/>
        <v>0</v>
      </c>
      <c r="I27" s="24"/>
      <c r="J27" s="25"/>
      <c r="K27" s="25"/>
      <c r="L27" s="26"/>
    </row>
    <row r="28" spans="2:12" ht="15.75" thickTop="1" x14ac:dyDescent="0.25"/>
    <row r="29" spans="2:12" ht="18.75" x14ac:dyDescent="0.25">
      <c r="B29" s="14" t="s">
        <v>153</v>
      </c>
      <c r="C29" s="14"/>
      <c r="D29" s="14"/>
      <c r="E29" s="14"/>
      <c r="F29" s="14"/>
      <c r="G29" s="14"/>
    </row>
    <row r="30" spans="2:12" ht="19.5" thickBot="1" x14ac:dyDescent="0.3">
      <c r="B30" s="15" t="str">
        <f>'Income Statement'!B28</f>
        <v>Equity Share Dividend</v>
      </c>
      <c r="C30" s="16">
        <f>'Income Statement'!C28</f>
        <v>10242.24</v>
      </c>
      <c r="D30" s="16">
        <f>'Income Statement'!D28</f>
        <v>8105.58</v>
      </c>
      <c r="E30" s="16">
        <f>'Income Statement'!E28</f>
        <v>7395.27</v>
      </c>
      <c r="F30" s="16">
        <f>'Income Statement'!F28</f>
        <v>7703.44</v>
      </c>
      <c r="G30" s="16">
        <f>'Income Statement'!G28</f>
        <v>0</v>
      </c>
    </row>
    <row r="31" spans="2:12" ht="19.5" thickTop="1" x14ac:dyDescent="0.25">
      <c r="B31" s="15" t="str">
        <f>'Income Statement'!B35</f>
        <v>Total Shares Outstanding(cr)</v>
      </c>
      <c r="C31" s="16">
        <f>'Income Statement'!C35</f>
        <v>446.36272727272774</v>
      </c>
      <c r="D31" s="16">
        <f>'Income Statement'!D35</f>
        <v>420.86285714285685</v>
      </c>
      <c r="E31" s="16">
        <f>'Income Statement'!E35</f>
        <v>339.24185185185155</v>
      </c>
      <c r="F31" s="16">
        <f>'Income Statement'!F35</f>
        <v>207.7457142857148</v>
      </c>
      <c r="G31" s="16">
        <f>'Income Statement'!G35</f>
        <v>707.10928571428576</v>
      </c>
      <c r="I31" s="18"/>
      <c r="J31" s="19"/>
      <c r="K31" s="19"/>
      <c r="L31" s="20"/>
    </row>
    <row r="32" spans="2:12" ht="18.75" x14ac:dyDescent="0.25">
      <c r="B32" s="15" t="s">
        <v>154</v>
      </c>
      <c r="C32" s="16">
        <f>ROUND(C30/C31, 2)</f>
        <v>22.95</v>
      </c>
      <c r="D32" s="16">
        <f t="shared" ref="D32:G32" si="6">ROUND(D30/D31, 2)</f>
        <v>19.260000000000002</v>
      </c>
      <c r="E32" s="16">
        <f t="shared" si="6"/>
        <v>21.8</v>
      </c>
      <c r="F32" s="16">
        <f t="shared" si="6"/>
        <v>37.08</v>
      </c>
      <c r="G32" s="16">
        <f t="shared" si="6"/>
        <v>0</v>
      </c>
      <c r="I32" s="21"/>
      <c r="J32" s="22"/>
      <c r="K32" s="22"/>
      <c r="L32" s="23"/>
    </row>
    <row r="33" spans="2:12" ht="19.5" thickBot="1" x14ac:dyDescent="0.3">
      <c r="B33" s="17" t="s">
        <v>155</v>
      </c>
      <c r="C33" s="27">
        <f>1-C32</f>
        <v>-21.95</v>
      </c>
      <c r="D33" s="27">
        <f t="shared" ref="D33:G33" si="7">1-D32</f>
        <v>-18.260000000000002</v>
      </c>
      <c r="E33" s="27">
        <f t="shared" si="7"/>
        <v>-20.8</v>
      </c>
      <c r="F33" s="27">
        <f t="shared" si="7"/>
        <v>-36.08</v>
      </c>
      <c r="G33" s="27">
        <f t="shared" si="7"/>
        <v>1</v>
      </c>
      <c r="I33" s="24"/>
      <c r="J33" s="25"/>
      <c r="K33" s="25"/>
      <c r="L33" s="26"/>
    </row>
    <row r="34" spans="2:12" ht="15.75" thickTop="1" x14ac:dyDescent="0.25"/>
    <row r="35" spans="2:12" ht="19.5" thickBot="1" x14ac:dyDescent="0.3">
      <c r="B35" s="14" t="s">
        <v>156</v>
      </c>
      <c r="C35" s="14"/>
      <c r="D35" s="14"/>
      <c r="E35" s="14"/>
      <c r="F35" s="14"/>
      <c r="G35" s="14"/>
    </row>
    <row r="36" spans="2:12" ht="19.5" thickTop="1" x14ac:dyDescent="0.25">
      <c r="B36" s="15" t="str">
        <f>'Income Statement'!B5</f>
        <v>Gross Sales</v>
      </c>
      <c r="C36" s="16">
        <f>'Income Statement'!C5</f>
        <v>127162.17</v>
      </c>
      <c r="D36" s="16">
        <f>'Income Statement'!D5</f>
        <v>140603</v>
      </c>
      <c r="E36" s="16">
        <f>'Income Statement'!E5</f>
        <v>134979.13</v>
      </c>
      <c r="F36" s="16">
        <f>'Income Statement'!F5</f>
        <v>126786.13</v>
      </c>
      <c r="G36" s="16">
        <f>'Income Statement'!G5</f>
        <v>109713.5</v>
      </c>
      <c r="I36" s="18"/>
      <c r="J36" s="19"/>
      <c r="K36" s="19"/>
      <c r="L36" s="20"/>
    </row>
    <row r="37" spans="2:12" ht="18.75" x14ac:dyDescent="0.25">
      <c r="B37" s="15" t="str">
        <f>'Income Statement'!B11</f>
        <v>Cost Of Materials Consumed</v>
      </c>
      <c r="C37" s="16">
        <f>'Income Statement'!C11</f>
        <v>9345.99</v>
      </c>
      <c r="D37" s="16">
        <f>'Income Statement'!D11</f>
        <v>9774.51</v>
      </c>
      <c r="E37" s="16">
        <f>'Income Statement'!E11</f>
        <v>9552.7800000000007</v>
      </c>
      <c r="F37" s="16">
        <f>'Income Statement'!F11</f>
        <v>10123.540000000001</v>
      </c>
      <c r="G37" s="16">
        <f>'Income Statement'!G11</f>
        <v>9442.18</v>
      </c>
      <c r="I37" s="21"/>
      <c r="J37" s="22"/>
      <c r="K37" s="22"/>
      <c r="L37" s="23"/>
    </row>
    <row r="38" spans="2:12" ht="19.5" thickBot="1" x14ac:dyDescent="0.3">
      <c r="B38" s="17" t="s">
        <v>157</v>
      </c>
      <c r="C38" s="28">
        <f>ROUND(C36- C37, 2)</f>
        <v>117816.18</v>
      </c>
      <c r="D38" s="28">
        <f t="shared" ref="D38:G38" si="8">ROUND(D36- D37, 2)</f>
        <v>130828.49</v>
      </c>
      <c r="E38" s="28">
        <f t="shared" si="8"/>
        <v>125426.35</v>
      </c>
      <c r="F38" s="28">
        <f t="shared" si="8"/>
        <v>116662.59</v>
      </c>
      <c r="G38" s="28">
        <f t="shared" si="8"/>
        <v>100271.32</v>
      </c>
      <c r="I38" s="24"/>
      <c r="J38" s="25"/>
      <c r="K38" s="25"/>
      <c r="L38" s="26"/>
    </row>
    <row r="39" spans="2:12" ht="15.75" thickTop="1" x14ac:dyDescent="0.25"/>
    <row r="40" spans="2:12" ht="19.5" thickBot="1" x14ac:dyDescent="0.3">
      <c r="B40" s="14" t="s">
        <v>158</v>
      </c>
      <c r="C40" s="14"/>
      <c r="D40" s="14"/>
      <c r="E40" s="14"/>
      <c r="F40" s="14"/>
      <c r="G40" s="14"/>
    </row>
    <row r="41" spans="2:12" ht="19.5" thickTop="1" x14ac:dyDescent="0.25">
      <c r="B41" s="15" t="str">
        <f>'Income Statement'!B5</f>
        <v>Gross Sales</v>
      </c>
      <c r="C41" s="16">
        <f>'Income Statement'!C5</f>
        <v>127162.17</v>
      </c>
      <c r="D41" s="16">
        <f>'Income Statement'!D5</f>
        <v>140603</v>
      </c>
      <c r="E41" s="16">
        <f>'Income Statement'!E5</f>
        <v>134979.13</v>
      </c>
      <c r="F41" s="16">
        <f>'Income Statement'!F5</f>
        <v>126786.13</v>
      </c>
      <c r="G41" s="16">
        <f>'Income Statement'!G5</f>
        <v>109713.5</v>
      </c>
      <c r="I41" s="18"/>
      <c r="J41" s="19"/>
      <c r="K41" s="19"/>
      <c r="L41" s="20"/>
    </row>
    <row r="42" spans="2:12" ht="18.75" x14ac:dyDescent="0.25">
      <c r="B42" s="15" t="str">
        <f>'Income Statement'!B15</f>
        <v>Total Expenditure</v>
      </c>
      <c r="C42" s="16">
        <f>'Income Statement'!C15</f>
        <v>74243.5</v>
      </c>
      <c r="D42" s="16">
        <f>'Income Statement'!D15</f>
        <v>73597.8</v>
      </c>
      <c r="E42" s="16">
        <f>'Income Statement'!E15</f>
        <v>74994.47</v>
      </c>
      <c r="F42" s="16">
        <f>'Income Statement'!F15</f>
        <v>72479.360000000001</v>
      </c>
      <c r="G42" s="16">
        <f>'Income Statement'!G15</f>
        <v>82610.94</v>
      </c>
      <c r="I42" s="21"/>
      <c r="J42" s="22"/>
      <c r="K42" s="22"/>
      <c r="L42" s="23"/>
    </row>
    <row r="43" spans="2:12" ht="19.5" thickBot="1" x14ac:dyDescent="0.3">
      <c r="B43" s="17" t="s">
        <v>159</v>
      </c>
      <c r="C43" s="28">
        <f>ROUND(C41- C42, 2)</f>
        <v>52918.67</v>
      </c>
      <c r="D43" s="28">
        <f t="shared" ref="D43:G43" si="9">ROUND(D41- D42, 2)</f>
        <v>67005.2</v>
      </c>
      <c r="E43" s="28">
        <f t="shared" si="9"/>
        <v>59984.66</v>
      </c>
      <c r="F43" s="28">
        <f t="shared" si="9"/>
        <v>54306.77</v>
      </c>
      <c r="G43" s="28">
        <f t="shared" si="9"/>
        <v>27102.560000000001</v>
      </c>
      <c r="I43" s="24"/>
      <c r="J43" s="25"/>
      <c r="K43" s="25"/>
      <c r="L43" s="26"/>
    </row>
    <row r="44" spans="2:12" ht="15.75" thickTop="1" x14ac:dyDescent="0.25"/>
    <row r="45" spans="2:12" ht="19.5" thickBot="1" x14ac:dyDescent="0.3">
      <c r="B45" s="14" t="s">
        <v>160</v>
      </c>
      <c r="C45" s="14"/>
      <c r="D45" s="14"/>
      <c r="E45" s="14"/>
      <c r="F45" s="14"/>
      <c r="G45" s="14"/>
    </row>
    <row r="46" spans="2:12" ht="19.5" thickTop="1" x14ac:dyDescent="0.25">
      <c r="B46" s="15" t="str">
        <f>'Income Statement'!B27</f>
        <v>Reported Net Profit(PAT)</v>
      </c>
      <c r="C46" s="16">
        <f>'Income Statement'!C27</f>
        <v>4909.9900000000052</v>
      </c>
      <c r="D46" s="16">
        <f>'Income Statement'!D27</f>
        <v>11784.159999999993</v>
      </c>
      <c r="E46" s="16">
        <f>'Income Statement'!E27</f>
        <v>9159.5299999999916</v>
      </c>
      <c r="F46" s="16">
        <f>'Income Statement'!F27</f>
        <v>4362.6600000000108</v>
      </c>
      <c r="G46" s="16">
        <f>'Income Statement'!G27</f>
        <v>19799.060000000001</v>
      </c>
      <c r="I46" s="18"/>
      <c r="J46" s="19"/>
      <c r="K46" s="19"/>
      <c r="L46" s="20"/>
    </row>
    <row r="47" spans="2:12" ht="18.75" x14ac:dyDescent="0.25">
      <c r="B47" s="15" t="str">
        <f>'Balance Sheet'!B40</f>
        <v>Total Assets</v>
      </c>
      <c r="C47" s="16">
        <f>'Balance Sheet'!C40</f>
        <v>127491.72999999998</v>
      </c>
      <c r="D47" s="16">
        <f>'Balance Sheet'!D40</f>
        <v>127911.51999999999</v>
      </c>
      <c r="E47" s="16">
        <f>'Balance Sheet'!E40</f>
        <v>139299.34999999998</v>
      </c>
      <c r="F47" s="16">
        <f>'Balance Sheet'!F40</f>
        <v>143050.34</v>
      </c>
      <c r="G47" s="16">
        <f>'Balance Sheet'!G40</f>
        <v>174687.35999999999</v>
      </c>
      <c r="I47" s="21"/>
      <c r="J47" s="22"/>
      <c r="K47" s="22"/>
      <c r="L47" s="23"/>
    </row>
    <row r="48" spans="2:12" ht="19.5" thickBot="1" x14ac:dyDescent="0.3">
      <c r="B48" s="17" t="s">
        <v>161</v>
      </c>
      <c r="C48" s="27">
        <f>ROUND(C46/ C47, 2)</f>
        <v>0.04</v>
      </c>
      <c r="D48" s="27">
        <f t="shared" ref="D48:G48" si="10">ROUND(D46/ D47, 2)</f>
        <v>0.09</v>
      </c>
      <c r="E48" s="27">
        <f t="shared" si="10"/>
        <v>7.0000000000000007E-2</v>
      </c>
      <c r="F48" s="27">
        <f t="shared" si="10"/>
        <v>0.03</v>
      </c>
      <c r="G48" s="27">
        <f t="shared" si="10"/>
        <v>0.11</v>
      </c>
      <c r="I48" s="24"/>
      <c r="J48" s="25"/>
      <c r="K48" s="25"/>
      <c r="L48" s="26"/>
    </row>
    <row r="49" spans="2:12" ht="15.75" thickTop="1" x14ac:dyDescent="0.25"/>
    <row r="50" spans="2:12" ht="18.75" x14ac:dyDescent="0.25">
      <c r="B50" s="14" t="s">
        <v>162</v>
      </c>
      <c r="C50" s="14"/>
      <c r="D50" s="14"/>
      <c r="E50" s="14"/>
      <c r="F50" s="14"/>
      <c r="G50" s="14"/>
    </row>
    <row r="51" spans="2:12" ht="19.5" thickBot="1" x14ac:dyDescent="0.3">
      <c r="B51" s="15" t="str">
        <f>'Income Statement'!B19</f>
        <v>PBIT</v>
      </c>
      <c r="C51" s="16">
        <f>'Income Statement'!C19</f>
        <v>9048.440000000006</v>
      </c>
      <c r="D51" s="16">
        <f>'Income Statement'!D19</f>
        <v>21721.649999999994</v>
      </c>
      <c r="E51" s="16">
        <f>'Income Statement'!E19</f>
        <v>17033.429999999989</v>
      </c>
      <c r="F51" s="16">
        <f>'Income Statement'!F19</f>
        <v>10314.420000000011</v>
      </c>
      <c r="G51" s="16">
        <f>'Income Statement'!G19</f>
        <v>26578.410000000003</v>
      </c>
    </row>
    <row r="52" spans="2:12" ht="19.5" thickTop="1" x14ac:dyDescent="0.25">
      <c r="B52" s="15" t="str">
        <f>'Balance Sheet'!B13</f>
        <v>Total Debt</v>
      </c>
      <c r="C52" s="16">
        <f>'Balance Sheet'!C13</f>
        <v>1530.94</v>
      </c>
      <c r="D52" s="16">
        <f>'Balance Sheet'!D13</f>
        <v>2202.7399999999998</v>
      </c>
      <c r="E52" s="16">
        <f>'Balance Sheet'!E13</f>
        <v>6733.03</v>
      </c>
      <c r="F52" s="16">
        <f>'Balance Sheet'!F13</f>
        <v>6597.37</v>
      </c>
      <c r="G52" s="16">
        <f>'Balance Sheet'!G13</f>
        <v>4120.78</v>
      </c>
      <c r="I52" s="18"/>
      <c r="J52" s="19"/>
      <c r="K52" s="19"/>
      <c r="L52" s="20"/>
    </row>
    <row r="53" spans="2:12" ht="18.75" x14ac:dyDescent="0.25">
      <c r="B53" s="15" t="str">
        <f>'Balance Sheet'!B9</f>
        <v>Net Worth</v>
      </c>
      <c r="C53" s="16">
        <f>'Balance Sheet'!C9</f>
        <v>19846.57</v>
      </c>
      <c r="D53" s="16">
        <f>'Balance Sheet'!D9</f>
        <v>21646.609999999993</v>
      </c>
      <c r="E53" s="16">
        <f>'Balance Sheet'!E9</f>
        <v>21128.789999999983</v>
      </c>
      <c r="F53" s="16">
        <f>'Balance Sheet'!F9</f>
        <v>17788.009999999995</v>
      </c>
      <c r="G53" s="16">
        <f>'Balance Sheet'!G9</f>
        <v>37587.069999999992</v>
      </c>
      <c r="I53" s="21"/>
      <c r="J53" s="22"/>
      <c r="K53" s="22"/>
      <c r="L53" s="23"/>
    </row>
    <row r="54" spans="2:12" ht="19.5" thickBot="1" x14ac:dyDescent="0.3">
      <c r="B54" s="17" t="s">
        <v>163</v>
      </c>
      <c r="C54" s="27">
        <f>ROUND(C51/ (C52+ C52), 2)</f>
        <v>2.96</v>
      </c>
      <c r="D54" s="27">
        <f t="shared" ref="D54:G54" si="11">ROUND(D51/ (D52+ D52), 2)</f>
        <v>4.93</v>
      </c>
      <c r="E54" s="27">
        <f t="shared" si="11"/>
        <v>1.26</v>
      </c>
      <c r="F54" s="27">
        <f t="shared" si="11"/>
        <v>0.78</v>
      </c>
      <c r="G54" s="27">
        <f t="shared" si="11"/>
        <v>3.22</v>
      </c>
      <c r="I54" s="24"/>
      <c r="J54" s="25"/>
      <c r="K54" s="25"/>
      <c r="L54" s="26"/>
    </row>
    <row r="55" spans="2:12" ht="15.75" thickTop="1" x14ac:dyDescent="0.25"/>
    <row r="56" spans="2:12" ht="19.5" thickBot="1" x14ac:dyDescent="0.3">
      <c r="B56" s="14" t="s">
        <v>164</v>
      </c>
      <c r="C56" s="14"/>
      <c r="D56" s="14"/>
      <c r="E56" s="14"/>
      <c r="F56" s="14"/>
      <c r="G56" s="14"/>
    </row>
    <row r="57" spans="2:12" ht="19.5" thickTop="1" x14ac:dyDescent="0.25">
      <c r="B57" s="15" t="str">
        <f>'Income Statement'!B27</f>
        <v>Reported Net Profit(PAT)</v>
      </c>
      <c r="C57" s="16">
        <f>'Income Statement'!C27</f>
        <v>4909.9900000000052</v>
      </c>
      <c r="D57" s="16">
        <f>'Income Statement'!D27</f>
        <v>11784.159999999993</v>
      </c>
      <c r="E57" s="16">
        <f>'Income Statement'!E27</f>
        <v>9159.5299999999916</v>
      </c>
      <c r="F57" s="16">
        <f>'Income Statement'!F27</f>
        <v>4362.6600000000108</v>
      </c>
      <c r="G57" s="16">
        <f>'Income Statement'!G27</f>
        <v>19799.060000000001</v>
      </c>
      <c r="I57" s="18"/>
      <c r="J57" s="19"/>
      <c r="K57" s="19"/>
      <c r="L57" s="20"/>
    </row>
    <row r="58" spans="2:12" ht="18.75" x14ac:dyDescent="0.25">
      <c r="B58" s="15" t="str">
        <f>'Balance Sheet'!B9</f>
        <v>Net Worth</v>
      </c>
      <c r="C58" s="16">
        <f>'Balance Sheet'!C9</f>
        <v>19846.57</v>
      </c>
      <c r="D58" s="16">
        <f>'Balance Sheet'!D9</f>
        <v>21646.609999999993</v>
      </c>
      <c r="E58" s="16">
        <f>'Balance Sheet'!E9</f>
        <v>21128.789999999983</v>
      </c>
      <c r="F58" s="16">
        <f>'Balance Sheet'!F9</f>
        <v>17788.009999999995</v>
      </c>
      <c r="G58" s="16">
        <f>'Balance Sheet'!G9</f>
        <v>37587.069999999992</v>
      </c>
      <c r="I58" s="21"/>
      <c r="J58" s="22"/>
      <c r="K58" s="22"/>
      <c r="L58" s="23"/>
    </row>
    <row r="59" spans="2:12" ht="19.5" thickBot="1" x14ac:dyDescent="0.3">
      <c r="B59" s="17" t="s">
        <v>165</v>
      </c>
      <c r="C59" s="27">
        <f>ROUND(C57/ (C58+ C58), 2)</f>
        <v>0.12</v>
      </c>
      <c r="D59" s="27">
        <f t="shared" ref="D59:G59" si="12">ROUND(D57/ (D58+ D58), 2)</f>
        <v>0.27</v>
      </c>
      <c r="E59" s="27">
        <f t="shared" si="12"/>
        <v>0.22</v>
      </c>
      <c r="F59" s="27">
        <f t="shared" si="12"/>
        <v>0.12</v>
      </c>
      <c r="G59" s="27">
        <f t="shared" si="12"/>
        <v>0.26</v>
      </c>
      <c r="I59" s="24"/>
      <c r="J59" s="25"/>
      <c r="K59" s="25"/>
      <c r="L59" s="26"/>
    </row>
    <row r="60" spans="2:12" ht="15.75" thickTop="1" x14ac:dyDescent="0.25"/>
    <row r="61" spans="2:12" ht="19.5" thickBot="1" x14ac:dyDescent="0.3">
      <c r="B61" s="14" t="s">
        <v>166</v>
      </c>
      <c r="C61" s="14"/>
      <c r="D61" s="14"/>
      <c r="E61" s="14"/>
      <c r="F61" s="14"/>
      <c r="G61" s="14"/>
    </row>
    <row r="62" spans="2:12" ht="19.5" thickTop="1" x14ac:dyDescent="0.25">
      <c r="B62" s="15" t="str">
        <f>'Balance Sheet'!B13</f>
        <v>Total Debt</v>
      </c>
      <c r="C62" s="16">
        <f>'Balance Sheet'!C13</f>
        <v>1530.94</v>
      </c>
      <c r="D62" s="16">
        <f>'Balance Sheet'!D13</f>
        <v>2202.7399999999998</v>
      </c>
      <c r="E62" s="16">
        <f>'Balance Sheet'!E13</f>
        <v>6733.03</v>
      </c>
      <c r="F62" s="16">
        <f>'Balance Sheet'!F13</f>
        <v>6597.37</v>
      </c>
      <c r="G62" s="16">
        <f>'Balance Sheet'!G13</f>
        <v>4120.78</v>
      </c>
      <c r="I62" s="18"/>
      <c r="J62" s="19"/>
      <c r="K62" s="19"/>
      <c r="L62" s="20"/>
    </row>
    <row r="63" spans="2:12" ht="18.75" x14ac:dyDescent="0.25">
      <c r="B63" s="15" t="str">
        <f>'Balance Sheet'!B9</f>
        <v>Net Worth</v>
      </c>
      <c r="C63" s="16">
        <f>'Balance Sheet'!C9</f>
        <v>19846.57</v>
      </c>
      <c r="D63" s="16">
        <f>'Balance Sheet'!D9</f>
        <v>21646.609999999993</v>
      </c>
      <c r="E63" s="16">
        <f>'Balance Sheet'!E9</f>
        <v>21128.789999999983</v>
      </c>
      <c r="F63" s="16">
        <f>'Balance Sheet'!F9</f>
        <v>17788.009999999995</v>
      </c>
      <c r="G63" s="16">
        <f>'Balance Sheet'!G9</f>
        <v>37587.069999999992</v>
      </c>
      <c r="I63" s="21"/>
      <c r="J63" s="22"/>
      <c r="K63" s="22"/>
      <c r="L63" s="23"/>
    </row>
    <row r="64" spans="2:12" ht="19.5" thickBot="1" x14ac:dyDescent="0.3">
      <c r="B64" s="17" t="s">
        <v>167</v>
      </c>
      <c r="C64" s="17">
        <f>ROUND(C62/ C63, 2)</f>
        <v>0.08</v>
      </c>
      <c r="D64" s="17">
        <f t="shared" ref="D64:G64" si="13">ROUND(D62/ D63, 2)</f>
        <v>0.1</v>
      </c>
      <c r="E64" s="17">
        <f t="shared" si="13"/>
        <v>0.32</v>
      </c>
      <c r="F64" s="17">
        <f t="shared" si="13"/>
        <v>0.37</v>
      </c>
      <c r="G64" s="17">
        <f t="shared" si="13"/>
        <v>0.11</v>
      </c>
      <c r="I64" s="24"/>
      <c r="J64" s="25"/>
      <c r="K64" s="25"/>
      <c r="L64" s="26"/>
    </row>
    <row r="65" spans="2:12" ht="15.75" thickTop="1" x14ac:dyDescent="0.25"/>
    <row r="66" spans="2:12" ht="19.5" thickBot="1" x14ac:dyDescent="0.3">
      <c r="B66" s="14" t="s">
        <v>168</v>
      </c>
      <c r="C66" s="14"/>
      <c r="D66" s="14"/>
      <c r="E66" s="14"/>
      <c r="F66" s="14"/>
      <c r="G66" s="14"/>
    </row>
    <row r="67" spans="2:12" ht="19.5" thickTop="1" x14ac:dyDescent="0.25">
      <c r="B67" s="15" t="str">
        <f>'Balance Sheet'!B39</f>
        <v>Total Current Assets</v>
      </c>
      <c r="C67" s="16">
        <f>'Balance Sheet'!C39</f>
        <v>88119.26999999999</v>
      </c>
      <c r="D67" s="16">
        <f>'Balance Sheet'!D39</f>
        <v>89993.729999999981</v>
      </c>
      <c r="E67" s="16">
        <f>'Balance Sheet'!E39</f>
        <v>103616.09999999999</v>
      </c>
      <c r="F67" s="16">
        <f>'Balance Sheet'!F39</f>
        <v>99507.159999999989</v>
      </c>
      <c r="G67" s="16">
        <f>'Balance Sheet'!G39</f>
        <v>120445.67</v>
      </c>
      <c r="I67" s="18"/>
      <c r="J67" s="19"/>
      <c r="K67" s="19"/>
      <c r="L67" s="20"/>
    </row>
    <row r="68" spans="2:12" ht="18.75" x14ac:dyDescent="0.25">
      <c r="B68" s="15" t="str">
        <f>'Balance Sheet'!B19</f>
        <v>Total Current Liabilities</v>
      </c>
      <c r="C68" s="16">
        <f>'Balance Sheet'!C19</f>
        <v>105751.77</v>
      </c>
      <c r="D68" s="16">
        <f>'Balance Sheet'!D19</f>
        <v>103655.38999999998</v>
      </c>
      <c r="E68" s="16">
        <f>'Balance Sheet'!E19</f>
        <v>111043.45</v>
      </c>
      <c r="F68" s="16">
        <f>'Balance Sheet'!F19</f>
        <v>118223.88</v>
      </c>
      <c r="G68" s="16">
        <f>'Balance Sheet'!G19</f>
        <v>132305.72</v>
      </c>
      <c r="I68" s="21"/>
      <c r="J68" s="22"/>
      <c r="K68" s="22"/>
      <c r="L68" s="23"/>
    </row>
    <row r="69" spans="2:12" ht="19.5" thickBot="1" x14ac:dyDescent="0.3">
      <c r="B69" s="17" t="s">
        <v>169</v>
      </c>
      <c r="C69" s="17">
        <f>ROUND(C67/ C68, 2)</f>
        <v>0.83</v>
      </c>
      <c r="D69" s="17">
        <f t="shared" ref="D69:G69" si="14">ROUND(D67/ D68, 2)</f>
        <v>0.87</v>
      </c>
      <c r="E69" s="17">
        <f t="shared" si="14"/>
        <v>0.93</v>
      </c>
      <c r="F69" s="17">
        <f t="shared" si="14"/>
        <v>0.84</v>
      </c>
      <c r="G69" s="17">
        <f t="shared" si="14"/>
        <v>0.91</v>
      </c>
      <c r="I69" s="24"/>
      <c r="J69" s="25"/>
      <c r="K69" s="25"/>
      <c r="L69" s="26"/>
    </row>
    <row r="70" spans="2:12" ht="15.75" thickTop="1" x14ac:dyDescent="0.25"/>
    <row r="71" spans="2:12" ht="18.75" x14ac:dyDescent="0.25">
      <c r="B71" s="14" t="s">
        <v>170</v>
      </c>
      <c r="C71" s="14"/>
      <c r="D71" s="14"/>
      <c r="E71" s="14"/>
      <c r="F71" s="14"/>
      <c r="G71" s="14"/>
    </row>
    <row r="72" spans="2:12" ht="19.5" thickBot="1" x14ac:dyDescent="0.3">
      <c r="B72" s="15" t="str">
        <f>'Balance Sheet'!B39</f>
        <v>Total Current Assets</v>
      </c>
      <c r="C72" s="16">
        <f>'Balance Sheet'!C39</f>
        <v>88119.26999999999</v>
      </c>
      <c r="D72" s="16">
        <f>'Balance Sheet'!D39</f>
        <v>89993.729999999981</v>
      </c>
      <c r="E72" s="16">
        <f>'Balance Sheet'!E39</f>
        <v>103616.09999999999</v>
      </c>
      <c r="F72" s="16">
        <f>'Balance Sheet'!F39</f>
        <v>99507.159999999989</v>
      </c>
      <c r="G72" s="16">
        <f>'Balance Sheet'!G39</f>
        <v>120445.67</v>
      </c>
    </row>
    <row r="73" spans="2:12" ht="19.5" thickTop="1" x14ac:dyDescent="0.25">
      <c r="B73" s="15" t="str">
        <f>'Balance Sheet'!B36</f>
        <v>Inventories</v>
      </c>
      <c r="C73" s="16">
        <f>'Balance Sheet'!C36</f>
        <v>6443.85</v>
      </c>
      <c r="D73" s="16">
        <f>'Balance Sheet'!D36</f>
        <v>5583.93</v>
      </c>
      <c r="E73" s="16">
        <f>'Balance Sheet'!E36</f>
        <v>6617.98</v>
      </c>
      <c r="F73" s="16">
        <f>'Balance Sheet'!F36</f>
        <v>8947.4699999999993</v>
      </c>
      <c r="G73" s="16">
        <f>'Balance Sheet'!G36</f>
        <v>7075.68</v>
      </c>
      <c r="I73" s="18"/>
      <c r="J73" s="19"/>
      <c r="K73" s="19"/>
      <c r="L73" s="20"/>
    </row>
    <row r="74" spans="2:12" ht="18.75" x14ac:dyDescent="0.25">
      <c r="B74" s="15" t="str">
        <f>'Balance Sheet'!B19</f>
        <v>Total Current Liabilities</v>
      </c>
      <c r="C74" s="16">
        <f>'Balance Sheet'!C19</f>
        <v>105751.77</v>
      </c>
      <c r="D74" s="16">
        <f>'Balance Sheet'!D19</f>
        <v>103655.38999999998</v>
      </c>
      <c r="E74" s="16">
        <f>'Balance Sheet'!E19</f>
        <v>111043.45</v>
      </c>
      <c r="F74" s="16">
        <f>'Balance Sheet'!F19</f>
        <v>118223.88</v>
      </c>
      <c r="G74" s="16">
        <f>'Balance Sheet'!G19</f>
        <v>132305.72</v>
      </c>
      <c r="I74" s="21"/>
      <c r="J74" s="22"/>
      <c r="K74" s="22"/>
      <c r="L74" s="23"/>
    </row>
    <row r="75" spans="2:12" ht="19.5" thickBot="1" x14ac:dyDescent="0.3">
      <c r="B75" s="17" t="s">
        <v>171</v>
      </c>
      <c r="C75" s="17">
        <f>ROUND((C72-C73)/ C74, 2)</f>
        <v>0.77</v>
      </c>
      <c r="D75" s="17">
        <f t="shared" ref="D75:G75" si="15">ROUND((D72-D73)/ D74, 2)</f>
        <v>0.81</v>
      </c>
      <c r="E75" s="17">
        <f t="shared" si="15"/>
        <v>0.87</v>
      </c>
      <c r="F75" s="17">
        <f t="shared" si="15"/>
        <v>0.77</v>
      </c>
      <c r="G75" s="17">
        <f t="shared" si="15"/>
        <v>0.86</v>
      </c>
      <c r="I75" s="24"/>
      <c r="J75" s="25"/>
      <c r="K75" s="25"/>
      <c r="L75" s="26"/>
    </row>
    <row r="76" spans="2:12" ht="15.75" thickTop="1" x14ac:dyDescent="0.25"/>
    <row r="77" spans="2:12" ht="19.5" thickBot="1" x14ac:dyDescent="0.3">
      <c r="B77" s="14" t="s">
        <v>172</v>
      </c>
      <c r="C77" s="14"/>
      <c r="D77" s="14"/>
      <c r="E77" s="14"/>
      <c r="F77" s="14"/>
      <c r="G77" s="14"/>
    </row>
    <row r="78" spans="2:12" ht="19.5" thickTop="1" x14ac:dyDescent="0.25">
      <c r="B78" s="15" t="str">
        <f>'Income Statement'!B19</f>
        <v>PBIT</v>
      </c>
      <c r="C78" s="16">
        <f>'Income Statement'!C19</f>
        <v>9048.440000000006</v>
      </c>
      <c r="D78" s="16">
        <f>'Income Statement'!D19</f>
        <v>21721.649999999994</v>
      </c>
      <c r="E78" s="16">
        <f>'Income Statement'!E19</f>
        <v>17033.429999999989</v>
      </c>
      <c r="F78" s="16">
        <f>'Income Statement'!F19</f>
        <v>10314.420000000011</v>
      </c>
      <c r="G78" s="16">
        <f>'Income Statement'!G19</f>
        <v>26578.410000000003</v>
      </c>
      <c r="I78" s="18"/>
      <c r="J78" s="19"/>
      <c r="K78" s="19"/>
      <c r="L78" s="20"/>
    </row>
    <row r="79" spans="2:12" ht="18.75" x14ac:dyDescent="0.25">
      <c r="B79" s="15" t="str">
        <f>'Income Statement'!B20</f>
        <v>Finance Costs</v>
      </c>
      <c r="C79" s="16">
        <f>'Income Statement'!C20</f>
        <v>431.79</v>
      </c>
      <c r="D79" s="16">
        <f>'Income Statement'!D20</f>
        <v>275.04000000000002</v>
      </c>
      <c r="E79" s="16">
        <f>'Income Statement'!E20</f>
        <v>502.92</v>
      </c>
      <c r="F79" s="16">
        <f>'Income Statement'!F20</f>
        <v>644.69000000000005</v>
      </c>
      <c r="G79" s="16">
        <f>'Income Statement'!G20</f>
        <v>541.49</v>
      </c>
      <c r="I79" s="21"/>
      <c r="J79" s="22"/>
      <c r="K79" s="22"/>
      <c r="L79" s="23"/>
    </row>
    <row r="80" spans="2:12" ht="19.5" thickBot="1" x14ac:dyDescent="0.3">
      <c r="B80" s="17" t="s">
        <v>173</v>
      </c>
      <c r="C80" s="17">
        <f>ROUND(C78/C79, 2)</f>
        <v>20.96</v>
      </c>
      <c r="D80" s="17">
        <f t="shared" ref="D80:G80" si="16">ROUND(D78/D79, 2)</f>
        <v>78.98</v>
      </c>
      <c r="E80" s="17">
        <f t="shared" si="16"/>
        <v>33.869999999999997</v>
      </c>
      <c r="F80" s="17">
        <f t="shared" si="16"/>
        <v>16</v>
      </c>
      <c r="G80" s="17">
        <f t="shared" si="16"/>
        <v>49.08</v>
      </c>
      <c r="I80" s="24"/>
      <c r="J80" s="25"/>
      <c r="K80" s="25"/>
      <c r="L80" s="26"/>
    </row>
    <row r="81" spans="2:12" ht="15.75" thickTop="1" x14ac:dyDescent="0.25"/>
    <row r="82" spans="2:12" ht="19.5" thickBot="1" x14ac:dyDescent="0.3">
      <c r="B82" s="14" t="s">
        <v>174</v>
      </c>
      <c r="C82" s="14"/>
      <c r="D82" s="14"/>
      <c r="E82" s="14"/>
      <c r="F82" s="14"/>
      <c r="G82" s="14"/>
    </row>
    <row r="83" spans="2:12" ht="19.5" thickTop="1" x14ac:dyDescent="0.25">
      <c r="B83" s="15" t="str">
        <f>'Income Statement'!B11</f>
        <v>Cost Of Materials Consumed</v>
      </c>
      <c r="C83" s="16">
        <f>'Income Statement'!C11</f>
        <v>9345.99</v>
      </c>
      <c r="D83" s="16">
        <f>'Income Statement'!D11</f>
        <v>9774.51</v>
      </c>
      <c r="E83" s="16">
        <f>'Income Statement'!E11</f>
        <v>9552.7800000000007</v>
      </c>
      <c r="F83" s="16">
        <f>'Income Statement'!F11</f>
        <v>10123.540000000001</v>
      </c>
      <c r="G83" s="16">
        <f>'Income Statement'!G11</f>
        <v>9442.18</v>
      </c>
      <c r="I83" s="18"/>
      <c r="J83" s="19"/>
      <c r="K83" s="19"/>
      <c r="L83" s="20"/>
    </row>
    <row r="84" spans="2:12" ht="18.75" x14ac:dyDescent="0.25">
      <c r="B84" s="15" t="str">
        <f>'Income Statement'!B7</f>
        <v>Net Sales</v>
      </c>
      <c r="C84" s="16">
        <f>'Income Statement'!C7</f>
        <v>81700</v>
      </c>
      <c r="D84" s="16">
        <f>'Income Statement'!D7</f>
        <v>92896.08</v>
      </c>
      <c r="E84" s="16">
        <f>'Income Statement'!E7</f>
        <v>89373.34</v>
      </c>
      <c r="F84" s="16">
        <f>'Income Statement'!F7</f>
        <v>82710.320000000007</v>
      </c>
      <c r="G84" s="16">
        <f>'Income Statement'!G7</f>
        <v>109713.5</v>
      </c>
      <c r="I84" s="21"/>
      <c r="J84" s="22"/>
      <c r="K84" s="22"/>
      <c r="L84" s="23"/>
    </row>
    <row r="85" spans="2:12" ht="19.5" thickBot="1" x14ac:dyDescent="0.3">
      <c r="B85" s="17" t="s">
        <v>175</v>
      </c>
      <c r="C85" s="17">
        <f>ROUND(C83/C84, 2)</f>
        <v>0.11</v>
      </c>
      <c r="D85" s="17">
        <f t="shared" ref="D85:G85" si="17">ROUND(D83/D84, 2)</f>
        <v>0.11</v>
      </c>
      <c r="E85" s="17">
        <f t="shared" si="17"/>
        <v>0.11</v>
      </c>
      <c r="F85" s="17">
        <f t="shared" si="17"/>
        <v>0.12</v>
      </c>
      <c r="G85" s="17">
        <f t="shared" si="17"/>
        <v>0.09</v>
      </c>
      <c r="I85" s="24"/>
      <c r="J85" s="25"/>
      <c r="K85" s="25"/>
      <c r="L85" s="26"/>
    </row>
    <row r="86" spans="2:12" ht="15.75" thickTop="1" x14ac:dyDescent="0.25"/>
    <row r="87" spans="2:12" ht="19.5" thickBot="1" x14ac:dyDescent="0.3">
      <c r="B87" s="14" t="s">
        <v>176</v>
      </c>
      <c r="C87" s="14"/>
      <c r="D87" s="14"/>
      <c r="E87" s="14"/>
      <c r="F87" s="14"/>
      <c r="G87" s="14"/>
    </row>
    <row r="88" spans="2:12" ht="19.5" thickTop="1" x14ac:dyDescent="0.25">
      <c r="B88" s="15" t="str">
        <f>'Balance Sheet'!B38</f>
        <v>Cash And Cash Equivalents</v>
      </c>
      <c r="C88" s="16">
        <f>'Balance Sheet'!C38</f>
        <v>31475.07</v>
      </c>
      <c r="D88" s="16">
        <f>'Balance Sheet'!D38</f>
        <v>33842.689999999988</v>
      </c>
      <c r="E88" s="16">
        <f>'Balance Sheet'!E38</f>
        <v>28822.309999999983</v>
      </c>
      <c r="F88" s="16">
        <f>'Balance Sheet'!F38</f>
        <v>13883.05</v>
      </c>
      <c r="G88" s="16">
        <f>'Balance Sheet'!G38</f>
        <v>38662.270000000004</v>
      </c>
      <c r="I88" s="18"/>
      <c r="J88" s="19"/>
      <c r="K88" s="19"/>
      <c r="L88" s="20"/>
    </row>
    <row r="89" spans="2:12" ht="18.75" x14ac:dyDescent="0.25">
      <c r="B89" s="15" t="str">
        <f>'Income Statement'!B11</f>
        <v>Cost Of Materials Consumed</v>
      </c>
      <c r="C89" s="16">
        <f>'Income Statement'!C11</f>
        <v>9345.99</v>
      </c>
      <c r="D89" s="16">
        <f>'Income Statement'!D11</f>
        <v>9774.51</v>
      </c>
      <c r="E89" s="16">
        <f>'Income Statement'!E11</f>
        <v>9552.7800000000007</v>
      </c>
      <c r="F89" s="16">
        <f>'Income Statement'!F11</f>
        <v>10123.540000000001</v>
      </c>
      <c r="G89" s="16">
        <f>'Income Statement'!G11</f>
        <v>9442.18</v>
      </c>
      <c r="I89" s="21"/>
      <c r="J89" s="22"/>
      <c r="K89" s="22"/>
      <c r="L89" s="23"/>
    </row>
    <row r="90" spans="2:12" ht="19.5" thickBot="1" x14ac:dyDescent="0.3">
      <c r="B90" s="17" t="s">
        <v>177</v>
      </c>
      <c r="C90" s="17">
        <f>ROUND(C88/C89*365, 2)</f>
        <v>1229.23</v>
      </c>
      <c r="D90" s="17">
        <f t="shared" ref="D90:G90" si="18">ROUND(D88/D89*365, 2)</f>
        <v>1263.75</v>
      </c>
      <c r="E90" s="17">
        <f t="shared" si="18"/>
        <v>1101.27</v>
      </c>
      <c r="F90" s="17">
        <f t="shared" si="18"/>
        <v>500.55</v>
      </c>
      <c r="G90" s="17">
        <f t="shared" si="18"/>
        <v>1494.54</v>
      </c>
      <c r="I90" s="24"/>
      <c r="J90" s="25"/>
      <c r="K90" s="25"/>
      <c r="L90" s="26"/>
    </row>
    <row r="91" spans="2:12" ht="15.75" thickTop="1" x14ac:dyDescent="0.25"/>
    <row r="92" spans="2:12" ht="19.5" thickBot="1" x14ac:dyDescent="0.3">
      <c r="B92" s="14" t="s">
        <v>178</v>
      </c>
      <c r="C92" s="14"/>
      <c r="D92" s="14"/>
      <c r="E92" s="14"/>
      <c r="F92" s="14"/>
      <c r="G92" s="14"/>
    </row>
    <row r="93" spans="2:12" ht="19.5" thickTop="1" x14ac:dyDescent="0.25">
      <c r="B93" s="15" t="str">
        <f>'Balance Sheet'!B38</f>
        <v>Cash And Cash Equivalents</v>
      </c>
      <c r="C93" s="16">
        <f>'Balance Sheet'!C38</f>
        <v>31475.07</v>
      </c>
      <c r="D93" s="16">
        <f>'Balance Sheet'!D38</f>
        <v>33842.689999999988</v>
      </c>
      <c r="E93" s="16">
        <f>'Balance Sheet'!E38</f>
        <v>28822.309999999983</v>
      </c>
      <c r="F93" s="16">
        <f>'Balance Sheet'!F38</f>
        <v>13883.05</v>
      </c>
      <c r="G93" s="16">
        <f>'Balance Sheet'!G38</f>
        <v>38662.270000000004</v>
      </c>
      <c r="I93" s="18"/>
      <c r="J93" s="19"/>
      <c r="K93" s="19"/>
      <c r="L93" s="20"/>
    </row>
    <row r="94" spans="2:12" ht="18.75" x14ac:dyDescent="0.25">
      <c r="B94" s="15" t="s">
        <v>179</v>
      </c>
      <c r="C94" s="16">
        <v>365</v>
      </c>
      <c r="D94" s="16">
        <v>365</v>
      </c>
      <c r="E94" s="16">
        <v>365</v>
      </c>
      <c r="F94" s="16">
        <v>365</v>
      </c>
      <c r="G94" s="16">
        <v>365</v>
      </c>
      <c r="I94" s="21"/>
      <c r="J94" s="22"/>
      <c r="K94" s="22"/>
      <c r="L94" s="23"/>
    </row>
    <row r="95" spans="2:12" ht="19.5" thickBot="1" x14ac:dyDescent="0.3">
      <c r="B95" s="17" t="s">
        <v>180</v>
      </c>
      <c r="C95" s="17">
        <f>ROUND(C93/C94*365, 2)</f>
        <v>31475.07</v>
      </c>
      <c r="D95" s="17">
        <f t="shared" ref="D95:G95" si="19">ROUND(D93/D94*365, 2)</f>
        <v>33842.69</v>
      </c>
      <c r="E95" s="17">
        <f t="shared" si="19"/>
        <v>28822.31</v>
      </c>
      <c r="F95" s="17">
        <f t="shared" si="19"/>
        <v>13883.05</v>
      </c>
      <c r="G95" s="17">
        <f t="shared" si="19"/>
        <v>38662.269999999997</v>
      </c>
      <c r="I95" s="24"/>
      <c r="J95" s="25"/>
      <c r="K95" s="25"/>
      <c r="L95" s="26"/>
    </row>
    <row r="96" spans="2:12" ht="15.75" thickTop="1" x14ac:dyDescent="0.25"/>
    <row r="97" spans="2:12" ht="19.5" thickBot="1" x14ac:dyDescent="0.3">
      <c r="B97" s="14" t="s">
        <v>181</v>
      </c>
      <c r="C97" s="14"/>
      <c r="D97" s="14"/>
      <c r="E97" s="14"/>
      <c r="F97" s="14"/>
      <c r="G97" s="14"/>
    </row>
    <row r="98" spans="2:12" ht="19.5" thickTop="1" x14ac:dyDescent="0.25">
      <c r="B98" s="15" t="str">
        <f>'Income Statement'!B5</f>
        <v>Gross Sales</v>
      </c>
      <c r="C98" s="16">
        <f>'Income Statement'!C5</f>
        <v>127162.17</v>
      </c>
      <c r="D98" s="16">
        <f>'Income Statement'!D5</f>
        <v>140603</v>
      </c>
      <c r="E98" s="16">
        <f>'Income Statement'!E5</f>
        <v>134979.13</v>
      </c>
      <c r="F98" s="16">
        <f>'Income Statement'!F5</f>
        <v>126786.13</v>
      </c>
      <c r="G98" s="16">
        <f>'Income Statement'!G5</f>
        <v>109713.5</v>
      </c>
      <c r="I98" s="18"/>
      <c r="J98" s="19"/>
      <c r="K98" s="19"/>
      <c r="L98" s="20"/>
    </row>
    <row r="99" spans="2:12" ht="18.75" x14ac:dyDescent="0.25">
      <c r="B99" s="15" t="str">
        <f>'Balance Sheet'!B40</f>
        <v>Total Assets</v>
      </c>
      <c r="C99" s="16">
        <f>'Balance Sheet'!C40</f>
        <v>127491.72999999998</v>
      </c>
      <c r="D99" s="16">
        <f>'Balance Sheet'!D40</f>
        <v>127911.51999999999</v>
      </c>
      <c r="E99" s="16">
        <f>'Balance Sheet'!E40</f>
        <v>139299.34999999998</v>
      </c>
      <c r="F99" s="16">
        <f>'Balance Sheet'!F40</f>
        <v>143050.34</v>
      </c>
      <c r="G99" s="16">
        <f>'Balance Sheet'!G40</f>
        <v>174687.35999999999</v>
      </c>
      <c r="I99" s="21"/>
      <c r="J99" s="22"/>
      <c r="K99" s="22"/>
      <c r="L99" s="23"/>
    </row>
    <row r="100" spans="2:12" ht="19.5" thickBot="1" x14ac:dyDescent="0.3">
      <c r="B100" s="17" t="s">
        <v>182</v>
      </c>
      <c r="C100" s="17">
        <f>ROUND(C98/C99, 2)</f>
        <v>1</v>
      </c>
      <c r="D100" s="17">
        <f t="shared" ref="D100:G100" si="20">ROUND(D98/D99, 2)</f>
        <v>1.1000000000000001</v>
      </c>
      <c r="E100" s="17">
        <f t="shared" si="20"/>
        <v>0.97</v>
      </c>
      <c r="F100" s="17">
        <f t="shared" si="20"/>
        <v>0.89</v>
      </c>
      <c r="G100" s="17">
        <f t="shared" si="20"/>
        <v>0.63</v>
      </c>
      <c r="I100" s="24"/>
      <c r="J100" s="25"/>
      <c r="K100" s="25"/>
      <c r="L100" s="26"/>
    </row>
    <row r="101" spans="2:12" ht="15.75" thickTop="1" x14ac:dyDescent="0.25"/>
    <row r="102" spans="2:12" ht="19.5" thickBot="1" x14ac:dyDescent="0.3">
      <c r="B102" s="14" t="s">
        <v>183</v>
      </c>
      <c r="C102" s="14"/>
      <c r="D102" s="14"/>
      <c r="E102" s="14"/>
      <c r="F102" s="14"/>
      <c r="G102" s="14"/>
    </row>
    <row r="103" spans="2:12" ht="19.5" thickTop="1" x14ac:dyDescent="0.25">
      <c r="B103" s="15" t="str">
        <f>'Income Statement'!B5</f>
        <v>Gross Sales</v>
      </c>
      <c r="C103" s="16">
        <f>'Income Statement'!C5</f>
        <v>127162.17</v>
      </c>
      <c r="D103" s="16">
        <f>'Income Statement'!D5</f>
        <v>140603</v>
      </c>
      <c r="E103" s="16">
        <f>'Income Statement'!E5</f>
        <v>134979.13</v>
      </c>
      <c r="F103" s="16">
        <f>'Income Statement'!F5</f>
        <v>126786.13</v>
      </c>
      <c r="G103" s="16">
        <f>'Income Statement'!G5</f>
        <v>109713.5</v>
      </c>
      <c r="I103" s="18"/>
      <c r="J103" s="19"/>
      <c r="K103" s="19"/>
      <c r="L103" s="20"/>
    </row>
    <row r="104" spans="2:12" ht="18.75" x14ac:dyDescent="0.25">
      <c r="B104" s="15" t="str">
        <f>'Balance Sheet'!B36</f>
        <v>Inventories</v>
      </c>
      <c r="C104" s="16">
        <f>'Balance Sheet'!C36</f>
        <v>6443.85</v>
      </c>
      <c r="D104" s="16">
        <f>'Balance Sheet'!D36</f>
        <v>5583.93</v>
      </c>
      <c r="E104" s="16">
        <f>'Balance Sheet'!E36</f>
        <v>6617.98</v>
      </c>
      <c r="F104" s="16">
        <f>'Balance Sheet'!F36</f>
        <v>8947.4699999999993</v>
      </c>
      <c r="G104" s="16">
        <f>'Balance Sheet'!G36</f>
        <v>7075.68</v>
      </c>
      <c r="I104" s="21"/>
      <c r="J104" s="22"/>
      <c r="K104" s="22"/>
      <c r="L104" s="23"/>
    </row>
    <row r="105" spans="2:12" ht="19.5" thickBot="1" x14ac:dyDescent="0.3">
      <c r="B105" s="17" t="s">
        <v>184</v>
      </c>
      <c r="C105" s="17">
        <f>ROUND(C103/C104, 2)</f>
        <v>19.73</v>
      </c>
      <c r="D105" s="17">
        <f t="shared" ref="D105:G105" si="21">ROUND(D103/D104, 2)</f>
        <v>25.18</v>
      </c>
      <c r="E105" s="17">
        <f t="shared" si="21"/>
        <v>20.399999999999999</v>
      </c>
      <c r="F105" s="17">
        <f t="shared" si="21"/>
        <v>14.17</v>
      </c>
      <c r="G105" s="17">
        <f t="shared" si="21"/>
        <v>15.51</v>
      </c>
      <c r="I105" s="24"/>
      <c r="J105" s="25"/>
      <c r="K105" s="25"/>
      <c r="L105" s="26"/>
    </row>
    <row r="106" spans="2:12" ht="15.75" thickTop="1" x14ac:dyDescent="0.25"/>
    <row r="107" spans="2:12" ht="19.5" thickBot="1" x14ac:dyDescent="0.3">
      <c r="B107" s="14" t="s">
        <v>185</v>
      </c>
      <c r="C107" s="14"/>
      <c r="D107" s="14"/>
      <c r="E107" s="14"/>
      <c r="F107" s="14"/>
      <c r="G107" s="14"/>
    </row>
    <row r="108" spans="2:12" ht="19.5" thickTop="1" x14ac:dyDescent="0.25">
      <c r="B108" s="15" t="str">
        <f>'Income Statement'!B5</f>
        <v>Gross Sales</v>
      </c>
      <c r="C108" s="16">
        <f>'Income Statement'!C5</f>
        <v>127162.17</v>
      </c>
      <c r="D108" s="16">
        <f>'Income Statement'!D5</f>
        <v>140603</v>
      </c>
      <c r="E108" s="16">
        <f>'Income Statement'!E5</f>
        <v>134979.13</v>
      </c>
      <c r="F108" s="16">
        <f>'Income Statement'!F5</f>
        <v>126786.13</v>
      </c>
      <c r="G108" s="16">
        <f>'Income Statement'!G5</f>
        <v>109713.5</v>
      </c>
      <c r="I108" s="18"/>
      <c r="J108" s="19"/>
      <c r="K108" s="19"/>
      <c r="L108" s="20"/>
    </row>
    <row r="109" spans="2:12" ht="18.75" x14ac:dyDescent="0.25">
      <c r="B109" s="15" t="str">
        <f>'Balance Sheet'!B37</f>
        <v>Trade Receivables</v>
      </c>
      <c r="C109" s="16">
        <f>'Balance Sheet'!C37</f>
        <v>8689.16</v>
      </c>
      <c r="D109" s="16">
        <f>'Balance Sheet'!D37</f>
        <v>5498.55</v>
      </c>
      <c r="E109" s="16">
        <f>'Balance Sheet'!E37</f>
        <v>14408.22</v>
      </c>
      <c r="F109" s="16">
        <f>'Balance Sheet'!F37</f>
        <v>19623.12</v>
      </c>
      <c r="G109" s="16">
        <f>'Balance Sheet'!G37</f>
        <v>11367.68</v>
      </c>
      <c r="I109" s="21"/>
      <c r="J109" s="22"/>
      <c r="K109" s="22"/>
      <c r="L109" s="23"/>
    </row>
    <row r="110" spans="2:12" ht="19.5" thickBot="1" x14ac:dyDescent="0.3">
      <c r="B110" s="17" t="s">
        <v>186</v>
      </c>
      <c r="C110" s="17">
        <f>ROUND(C108/C109, 2)</f>
        <v>14.63</v>
      </c>
      <c r="D110" s="17">
        <f t="shared" ref="D110:G110" si="22">ROUND(D108/D109, 2)</f>
        <v>25.57</v>
      </c>
      <c r="E110" s="17">
        <f t="shared" si="22"/>
        <v>9.3699999999999992</v>
      </c>
      <c r="F110" s="17">
        <f t="shared" si="22"/>
        <v>6.46</v>
      </c>
      <c r="G110" s="17">
        <f t="shared" si="22"/>
        <v>9.65</v>
      </c>
      <c r="I110" s="24"/>
      <c r="J110" s="25"/>
      <c r="K110" s="25"/>
      <c r="L110" s="26"/>
    </row>
    <row r="111" spans="2:12" ht="15.75" thickTop="1" x14ac:dyDescent="0.25"/>
    <row r="112" spans="2:12" ht="19.5" thickBot="1" x14ac:dyDescent="0.3">
      <c r="B112" s="14" t="s">
        <v>187</v>
      </c>
      <c r="C112" s="14"/>
      <c r="D112" s="14"/>
      <c r="E112" s="14"/>
      <c r="F112" s="14"/>
      <c r="G112" s="14"/>
    </row>
    <row r="113" spans="2:12" ht="19.5" thickTop="1" x14ac:dyDescent="0.25">
      <c r="B113" s="15" t="str">
        <f>'Income Statement'!B5</f>
        <v>Gross Sales</v>
      </c>
      <c r="C113" s="16">
        <f>'Income Statement'!C5</f>
        <v>127162.17</v>
      </c>
      <c r="D113" s="16">
        <f>'Income Statement'!D5</f>
        <v>140603</v>
      </c>
      <c r="E113" s="16">
        <f>'Income Statement'!E5</f>
        <v>134979.13</v>
      </c>
      <c r="F113" s="16">
        <f>'Income Statement'!F5</f>
        <v>126786.13</v>
      </c>
      <c r="G113" s="16">
        <f>'Income Statement'!G5</f>
        <v>109713.5</v>
      </c>
      <c r="I113" s="18"/>
      <c r="J113" s="19"/>
      <c r="K113" s="19"/>
      <c r="L113" s="20"/>
    </row>
    <row r="114" spans="2:12" ht="18.75" x14ac:dyDescent="0.25">
      <c r="B114" s="15" t="str">
        <f>'Balance Sheet'!B23</f>
        <v>Tangible Assets</v>
      </c>
      <c r="C114" s="16">
        <f>'Balance Sheet'!C23</f>
        <v>24063.3</v>
      </c>
      <c r="D114" s="16">
        <f>'Balance Sheet'!D23</f>
        <v>28539.06</v>
      </c>
      <c r="E114" s="16">
        <f>'Balance Sheet'!E23</f>
        <v>32302.35</v>
      </c>
      <c r="F114" s="16">
        <f>'Balance Sheet'!F23</f>
        <v>37753.65</v>
      </c>
      <c r="G114" s="16">
        <f>'Balance Sheet'!G23</f>
        <v>59574.1</v>
      </c>
      <c r="I114" s="21"/>
      <c r="J114" s="22"/>
      <c r="K114" s="22"/>
      <c r="L114" s="23"/>
    </row>
    <row r="115" spans="2:12" ht="19.5" thickBot="1" x14ac:dyDescent="0.3">
      <c r="B115" s="17" t="s">
        <v>188</v>
      </c>
      <c r="C115" s="17">
        <f>ROUND(C113/C114, 2)</f>
        <v>5.28</v>
      </c>
      <c r="D115" s="17">
        <f t="shared" ref="D115:G115" si="23">ROUND(D113/D114, 2)</f>
        <v>4.93</v>
      </c>
      <c r="E115" s="17">
        <f t="shared" si="23"/>
        <v>4.18</v>
      </c>
      <c r="F115" s="17">
        <f t="shared" si="23"/>
        <v>3.36</v>
      </c>
      <c r="G115" s="17">
        <f t="shared" si="23"/>
        <v>1.84</v>
      </c>
      <c r="I115" s="24"/>
      <c r="J115" s="25"/>
      <c r="K115" s="25"/>
      <c r="L115" s="26"/>
    </row>
    <row r="116" spans="2:12" ht="15.75" thickTop="1" x14ac:dyDescent="0.25"/>
    <row r="117" spans="2:12" ht="19.5" thickBot="1" x14ac:dyDescent="0.3">
      <c r="B117" s="14" t="s">
        <v>189</v>
      </c>
      <c r="C117" s="14"/>
      <c r="D117" s="14"/>
      <c r="E117" s="14"/>
      <c r="F117" s="14"/>
      <c r="G117" s="14"/>
    </row>
    <row r="118" spans="2:12" ht="19.5" thickTop="1" x14ac:dyDescent="0.25">
      <c r="B118" s="15" t="str">
        <f>'Income Statement'!B11</f>
        <v>Cost Of Materials Consumed</v>
      </c>
      <c r="C118" s="16">
        <f>'Income Statement'!C11</f>
        <v>9345.99</v>
      </c>
      <c r="D118" s="16">
        <f>'Income Statement'!D11</f>
        <v>9774.51</v>
      </c>
      <c r="E118" s="16">
        <f>'Income Statement'!E11</f>
        <v>9552.7800000000007</v>
      </c>
      <c r="F118" s="16">
        <f>'Income Statement'!F11</f>
        <v>10123.540000000001</v>
      </c>
      <c r="G118" s="16">
        <f>'Income Statement'!G11</f>
        <v>9442.18</v>
      </c>
      <c r="I118" s="18"/>
      <c r="J118" s="19"/>
      <c r="K118" s="19"/>
      <c r="L118" s="20"/>
    </row>
    <row r="119" spans="2:12" ht="18.75" x14ac:dyDescent="0.25">
      <c r="B119" s="15" t="str">
        <f>'Balance Sheet'!B19</f>
        <v>Total Current Liabilities</v>
      </c>
      <c r="C119" s="16">
        <f>'Balance Sheet'!C19</f>
        <v>105751.77</v>
      </c>
      <c r="D119" s="16">
        <f>'Balance Sheet'!D19</f>
        <v>103655.38999999998</v>
      </c>
      <c r="E119" s="16">
        <f>'Balance Sheet'!E19</f>
        <v>111043.45</v>
      </c>
      <c r="F119" s="16">
        <f>'Balance Sheet'!F19</f>
        <v>118223.88</v>
      </c>
      <c r="G119" s="16">
        <f>'Balance Sheet'!G19</f>
        <v>132305.72</v>
      </c>
      <c r="I119" s="21"/>
      <c r="J119" s="22"/>
      <c r="K119" s="22"/>
      <c r="L119" s="23"/>
    </row>
    <row r="120" spans="2:12" ht="19.5" thickBot="1" x14ac:dyDescent="0.3">
      <c r="B120" s="17" t="s">
        <v>190</v>
      </c>
      <c r="C120" s="17">
        <f>ROUND(C118/C119, 2)</f>
        <v>0.09</v>
      </c>
      <c r="D120" s="17">
        <f t="shared" ref="D120:G120" si="24">ROUND(D118/D119, 2)</f>
        <v>0.09</v>
      </c>
      <c r="E120" s="17">
        <f t="shared" si="24"/>
        <v>0.09</v>
      </c>
      <c r="F120" s="17">
        <f t="shared" si="24"/>
        <v>0.09</v>
      </c>
      <c r="G120" s="17">
        <f t="shared" si="24"/>
        <v>7.0000000000000007E-2</v>
      </c>
      <c r="I120" s="24"/>
      <c r="J120" s="25"/>
      <c r="K120" s="25"/>
      <c r="L120" s="26"/>
    </row>
    <row r="121" spans="2:12" ht="15.75" thickTop="1" x14ac:dyDescent="0.25"/>
    <row r="122" spans="2:12" ht="19.5" thickBot="1" x14ac:dyDescent="0.3">
      <c r="B122" s="14" t="s">
        <v>191</v>
      </c>
      <c r="C122" s="14"/>
      <c r="D122" s="14"/>
      <c r="E122" s="14"/>
      <c r="F122" s="14"/>
      <c r="G122" s="14"/>
    </row>
    <row r="123" spans="2:12" ht="19.5" thickTop="1" x14ac:dyDescent="0.25">
      <c r="B123" s="15" t="str">
        <f>'Income Statement'!B5</f>
        <v>Gross Sales</v>
      </c>
      <c r="C123" s="16">
        <f>'Income Statement'!C5</f>
        <v>127162.17</v>
      </c>
      <c r="D123" s="16">
        <f>'Income Statement'!D5</f>
        <v>140603</v>
      </c>
      <c r="E123" s="16">
        <f>'Income Statement'!E5</f>
        <v>134979.13</v>
      </c>
      <c r="F123" s="16">
        <f>'Income Statement'!F5</f>
        <v>126786.13</v>
      </c>
      <c r="G123" s="16">
        <f>'Income Statement'!G5</f>
        <v>109713.5</v>
      </c>
      <c r="I123" s="18"/>
      <c r="J123" s="19"/>
      <c r="K123" s="19"/>
      <c r="L123" s="20"/>
    </row>
    <row r="124" spans="2:12" ht="18.75" x14ac:dyDescent="0.25">
      <c r="B124" s="15" t="str">
        <f>'Balance Sheet'!B36</f>
        <v>Inventories</v>
      </c>
      <c r="C124" s="16">
        <f>'Balance Sheet'!C36</f>
        <v>6443.85</v>
      </c>
      <c r="D124" s="16">
        <f>'Balance Sheet'!D36</f>
        <v>5583.93</v>
      </c>
      <c r="E124" s="16">
        <f>'Balance Sheet'!E36</f>
        <v>6617.98</v>
      </c>
      <c r="F124" s="16">
        <f>'Balance Sheet'!F36</f>
        <v>8947.4699999999993</v>
      </c>
      <c r="G124" s="16">
        <f>'Balance Sheet'!G36</f>
        <v>7075.68</v>
      </c>
      <c r="I124" s="21"/>
      <c r="J124" s="22"/>
      <c r="K124" s="22"/>
      <c r="L124" s="23"/>
    </row>
    <row r="125" spans="2:12" ht="19.5" thickBot="1" x14ac:dyDescent="0.3">
      <c r="B125" s="17" t="s">
        <v>192</v>
      </c>
      <c r="C125" s="17">
        <f>ROUND(365/C123*C124, 2)</f>
        <v>18.5</v>
      </c>
      <c r="D125" s="17">
        <f t="shared" ref="D125:G125" si="25">ROUND(365/D123*D124, 2)</f>
        <v>14.5</v>
      </c>
      <c r="E125" s="17">
        <f t="shared" si="25"/>
        <v>17.899999999999999</v>
      </c>
      <c r="F125" s="17">
        <f t="shared" si="25"/>
        <v>25.76</v>
      </c>
      <c r="G125" s="17">
        <f t="shared" si="25"/>
        <v>23.54</v>
      </c>
      <c r="I125" s="24"/>
      <c r="J125" s="25"/>
      <c r="K125" s="25"/>
      <c r="L125" s="26"/>
    </row>
    <row r="126" spans="2:12" ht="15.75" thickTop="1" x14ac:dyDescent="0.25"/>
    <row r="127" spans="2:12" ht="19.5" thickBot="1" x14ac:dyDescent="0.3">
      <c r="B127" s="14" t="s">
        <v>193</v>
      </c>
      <c r="C127" s="14"/>
      <c r="D127" s="14"/>
      <c r="E127" s="14"/>
      <c r="F127" s="14"/>
      <c r="G127" s="14"/>
    </row>
    <row r="128" spans="2:12" ht="19.5" thickTop="1" x14ac:dyDescent="0.25">
      <c r="B128" s="15" t="str">
        <f>'Income Statement'!B11</f>
        <v>Cost Of Materials Consumed</v>
      </c>
      <c r="C128" s="16">
        <f>'Income Statement'!C11</f>
        <v>9345.99</v>
      </c>
      <c r="D128" s="16">
        <f>'Income Statement'!D11</f>
        <v>9774.51</v>
      </c>
      <c r="E128" s="16">
        <f>'Income Statement'!E11</f>
        <v>9552.7800000000007</v>
      </c>
      <c r="F128" s="16">
        <f>'Income Statement'!F11</f>
        <v>10123.540000000001</v>
      </c>
      <c r="G128" s="16">
        <f>'Income Statement'!G11</f>
        <v>9442.18</v>
      </c>
      <c r="I128" s="18"/>
      <c r="J128" s="19"/>
      <c r="K128" s="19"/>
      <c r="L128" s="20"/>
    </row>
    <row r="129" spans="2:12" ht="18.75" x14ac:dyDescent="0.25">
      <c r="B129" s="15" t="str">
        <f>'Balance Sheet'!B19</f>
        <v>Total Current Liabilities</v>
      </c>
      <c r="C129" s="16">
        <f>'Balance Sheet'!C19</f>
        <v>105751.77</v>
      </c>
      <c r="D129" s="16">
        <f>'Balance Sheet'!D19</f>
        <v>103655.38999999998</v>
      </c>
      <c r="E129" s="16">
        <f>'Balance Sheet'!E19</f>
        <v>111043.45</v>
      </c>
      <c r="F129" s="16">
        <f>'Balance Sheet'!F19</f>
        <v>118223.88</v>
      </c>
      <c r="G129" s="16">
        <f>'Balance Sheet'!G19</f>
        <v>132305.72</v>
      </c>
      <c r="I129" s="21"/>
      <c r="J129" s="22"/>
      <c r="K129" s="22"/>
      <c r="L129" s="23"/>
    </row>
    <row r="130" spans="2:12" ht="19.5" thickBot="1" x14ac:dyDescent="0.3">
      <c r="B130" s="17" t="s">
        <v>194</v>
      </c>
      <c r="C130" s="17">
        <f>ROUND(365/C128*C129, 2)</f>
        <v>4130.05</v>
      </c>
      <c r="D130" s="17">
        <f t="shared" ref="D130:G130" si="26">ROUND(365/D128*D129, 2)</f>
        <v>3870.7</v>
      </c>
      <c r="E130" s="17">
        <f t="shared" si="26"/>
        <v>4242.83</v>
      </c>
      <c r="F130" s="17">
        <f t="shared" si="26"/>
        <v>4262.51</v>
      </c>
      <c r="G130" s="17">
        <f t="shared" si="26"/>
        <v>5114.45</v>
      </c>
      <c r="I130" s="24"/>
      <c r="J130" s="25"/>
      <c r="K130" s="25"/>
      <c r="L130" s="26"/>
    </row>
    <row r="131" spans="2:12" ht="15.75" thickTop="1" x14ac:dyDescent="0.25"/>
    <row r="132" spans="2:12" ht="19.5" thickBot="1" x14ac:dyDescent="0.3">
      <c r="B132" s="14" t="s">
        <v>195</v>
      </c>
      <c r="C132" s="14"/>
      <c r="D132" s="14"/>
      <c r="E132" s="14"/>
      <c r="F132" s="14"/>
      <c r="G132" s="14"/>
    </row>
    <row r="133" spans="2:12" ht="19.5" thickTop="1" x14ac:dyDescent="0.25">
      <c r="B133" s="15" t="str">
        <f>'Income Statement'!B5</f>
        <v>Gross Sales</v>
      </c>
      <c r="C133" s="16">
        <f>'Income Statement'!C5</f>
        <v>127162.17</v>
      </c>
      <c r="D133" s="16">
        <f>'Income Statement'!D5</f>
        <v>140603</v>
      </c>
      <c r="E133" s="16">
        <f>'Income Statement'!E5</f>
        <v>134979.13</v>
      </c>
      <c r="F133" s="16">
        <f>'Income Statement'!F5</f>
        <v>126786.13</v>
      </c>
      <c r="G133" s="16">
        <f>'Income Statement'!G5</f>
        <v>109713.5</v>
      </c>
      <c r="I133" s="18"/>
      <c r="J133" s="19"/>
      <c r="K133" s="19"/>
      <c r="L133" s="20"/>
    </row>
    <row r="134" spans="2:12" ht="18.75" x14ac:dyDescent="0.25">
      <c r="B134" s="15" t="str">
        <f>'Balance Sheet'!B37</f>
        <v>Trade Receivables</v>
      </c>
      <c r="C134" s="16">
        <f>'Balance Sheet'!C37</f>
        <v>8689.16</v>
      </c>
      <c r="D134" s="16">
        <f>'Balance Sheet'!D37</f>
        <v>5498.55</v>
      </c>
      <c r="E134" s="16">
        <f>'Balance Sheet'!E37</f>
        <v>14408.22</v>
      </c>
      <c r="F134" s="16">
        <f>'Balance Sheet'!F37</f>
        <v>19623.12</v>
      </c>
      <c r="G134" s="16">
        <f>'Balance Sheet'!G37</f>
        <v>11367.68</v>
      </c>
      <c r="I134" s="21"/>
      <c r="J134" s="22"/>
      <c r="K134" s="22"/>
      <c r="L134" s="23"/>
    </row>
    <row r="135" spans="2:12" ht="19.5" thickBot="1" x14ac:dyDescent="0.3">
      <c r="B135" s="17" t="s">
        <v>196</v>
      </c>
      <c r="C135" s="17">
        <f>ROUND(365/C133*C134, 2)</f>
        <v>24.94</v>
      </c>
      <c r="D135" s="17">
        <f t="shared" ref="D135:G135" si="27">ROUND(365/D133*D134, 2)</f>
        <v>14.27</v>
      </c>
      <c r="E135" s="17">
        <f t="shared" si="27"/>
        <v>38.96</v>
      </c>
      <c r="F135" s="17">
        <f t="shared" si="27"/>
        <v>56.49</v>
      </c>
      <c r="G135" s="17">
        <f t="shared" si="27"/>
        <v>37.82</v>
      </c>
      <c r="I135" s="24"/>
      <c r="J135" s="25"/>
      <c r="K135" s="25"/>
      <c r="L135" s="26"/>
    </row>
    <row r="136" spans="2:12" ht="15.75" thickTop="1" x14ac:dyDescent="0.25"/>
    <row r="137" spans="2:12" ht="18.75" x14ac:dyDescent="0.25">
      <c r="B137" s="14" t="s">
        <v>197</v>
      </c>
      <c r="C137" s="14"/>
      <c r="D137" s="14"/>
      <c r="E137" s="14"/>
      <c r="F137" s="14"/>
      <c r="G137" s="14"/>
    </row>
    <row r="138" spans="2:12" ht="18.75" x14ac:dyDescent="0.25">
      <c r="B138" s="15" t="str">
        <f>'Income Statement'!B5</f>
        <v>Gross Sales</v>
      </c>
      <c r="C138" s="16">
        <f>'Income Statement'!C5</f>
        <v>127162.17</v>
      </c>
      <c r="D138" s="16">
        <f>'Income Statement'!D5</f>
        <v>140603</v>
      </c>
      <c r="E138" s="16">
        <f>'Income Statement'!E5</f>
        <v>134979.13</v>
      </c>
      <c r="F138" s="16">
        <f>'Income Statement'!F5</f>
        <v>126786.13</v>
      </c>
      <c r="G138" s="16">
        <f>'Income Statement'!G5</f>
        <v>109713.5</v>
      </c>
    </row>
    <row r="139" spans="2:12" ht="18.75" x14ac:dyDescent="0.25">
      <c r="B139" s="15" t="str">
        <f>'Balance Sheet'!B36</f>
        <v>Inventories</v>
      </c>
      <c r="C139" s="16">
        <f>'Balance Sheet'!C36</f>
        <v>6443.85</v>
      </c>
      <c r="D139" s="16">
        <f>'Balance Sheet'!D36</f>
        <v>5583.93</v>
      </c>
      <c r="E139" s="16">
        <f>'Balance Sheet'!E36</f>
        <v>6617.98</v>
      </c>
      <c r="F139" s="16">
        <f>'Balance Sheet'!F36</f>
        <v>8947.4699999999993</v>
      </c>
      <c r="G139" s="16">
        <f>'Balance Sheet'!G36</f>
        <v>7075.68</v>
      </c>
    </row>
    <row r="140" spans="2:12" ht="18.75" x14ac:dyDescent="0.25">
      <c r="B140" s="15" t="s">
        <v>192</v>
      </c>
      <c r="C140" s="16">
        <f>ROUND(365/C138*C139, 2)</f>
        <v>18.5</v>
      </c>
      <c r="D140" s="16">
        <f t="shared" ref="D140:G140" si="28">ROUND(365/D138*D139, 2)</f>
        <v>14.5</v>
      </c>
      <c r="E140" s="16">
        <f t="shared" si="28"/>
        <v>17.899999999999999</v>
      </c>
      <c r="F140" s="16">
        <f t="shared" si="28"/>
        <v>25.76</v>
      </c>
      <c r="G140" s="16">
        <f t="shared" si="28"/>
        <v>23.54</v>
      </c>
    </row>
    <row r="141" spans="2:12" ht="19.5" thickBot="1" x14ac:dyDescent="0.3">
      <c r="B141" s="15" t="str">
        <f>'Income Statement'!B11</f>
        <v>Cost Of Materials Consumed</v>
      </c>
      <c r="C141" s="16">
        <f>'Income Statement'!C11</f>
        <v>9345.99</v>
      </c>
      <c r="D141" s="16">
        <f>'Income Statement'!D11</f>
        <v>9774.51</v>
      </c>
      <c r="E141" s="16">
        <f>'Income Statement'!E11</f>
        <v>9552.7800000000007</v>
      </c>
      <c r="F141" s="16">
        <f>'Income Statement'!F11</f>
        <v>10123.540000000001</v>
      </c>
      <c r="G141" s="16">
        <f>'Income Statement'!G11</f>
        <v>9442.18</v>
      </c>
    </row>
    <row r="142" spans="2:12" ht="19.5" thickTop="1" x14ac:dyDescent="0.25">
      <c r="B142" s="15" t="str">
        <f>'Balance Sheet'!B19</f>
        <v>Total Current Liabilities</v>
      </c>
      <c r="C142" s="16">
        <f>'Balance Sheet'!C19</f>
        <v>105751.77</v>
      </c>
      <c r="D142" s="16">
        <f>'Balance Sheet'!D19</f>
        <v>103655.38999999998</v>
      </c>
      <c r="E142" s="16">
        <f>'Balance Sheet'!E19</f>
        <v>111043.45</v>
      </c>
      <c r="F142" s="16">
        <f>'Balance Sheet'!F19</f>
        <v>118223.88</v>
      </c>
      <c r="G142" s="16">
        <f>'Balance Sheet'!G19</f>
        <v>132305.72</v>
      </c>
      <c r="I142" s="18"/>
      <c r="J142" s="19"/>
      <c r="K142" s="19"/>
      <c r="L142" s="20"/>
    </row>
    <row r="143" spans="2:12" ht="18.75" x14ac:dyDescent="0.25">
      <c r="B143" s="15" t="s">
        <v>194</v>
      </c>
      <c r="C143" s="16">
        <f>ROUND(365/C141*C142, 2)</f>
        <v>4130.05</v>
      </c>
      <c r="D143" s="16">
        <f t="shared" ref="D143:G143" si="29">ROUND(365/D141*D142, 2)</f>
        <v>3870.7</v>
      </c>
      <c r="E143" s="16">
        <f t="shared" si="29"/>
        <v>4242.83</v>
      </c>
      <c r="F143" s="16">
        <f t="shared" si="29"/>
        <v>4262.51</v>
      </c>
      <c r="G143" s="16">
        <f t="shared" si="29"/>
        <v>5114.45</v>
      </c>
      <c r="I143" s="21"/>
      <c r="J143" s="22"/>
      <c r="K143" s="22"/>
      <c r="L143" s="23"/>
    </row>
    <row r="144" spans="2:12" ht="19.5" thickBot="1" x14ac:dyDescent="0.3">
      <c r="B144" s="17" t="s">
        <v>198</v>
      </c>
      <c r="C144" s="28">
        <f>ROUND(C143+C140, 2)</f>
        <v>4148.55</v>
      </c>
      <c r="D144" s="28">
        <f t="shared" ref="D144:G144" si="30">ROUND(D143+D140, 2)</f>
        <v>3885.2</v>
      </c>
      <c r="E144" s="28">
        <f t="shared" si="30"/>
        <v>4260.7299999999996</v>
      </c>
      <c r="F144" s="28">
        <f t="shared" si="30"/>
        <v>4288.2700000000004</v>
      </c>
      <c r="G144" s="28">
        <f t="shared" si="30"/>
        <v>5137.99</v>
      </c>
      <c r="I144" s="24"/>
      <c r="J144" s="25"/>
      <c r="K144" s="25"/>
      <c r="L144" s="26"/>
    </row>
    <row r="145" spans="2:12" ht="15.75" thickTop="1" x14ac:dyDescent="0.25"/>
    <row r="146" spans="2:12" ht="18.75" x14ac:dyDescent="0.25">
      <c r="B146" s="14" t="s">
        <v>199</v>
      </c>
      <c r="C146" s="14"/>
      <c r="D146" s="14"/>
      <c r="E146" s="14"/>
      <c r="F146" s="14"/>
      <c r="G146" s="14"/>
    </row>
    <row r="147" spans="2:12" ht="18.75" x14ac:dyDescent="0.25">
      <c r="B147" s="15" t="str">
        <f>'Income Statement'!B5</f>
        <v>Gross Sales</v>
      </c>
      <c r="C147" s="16">
        <f>'Income Statement'!C5</f>
        <v>127162.17</v>
      </c>
      <c r="D147" s="16">
        <f>'Income Statement'!D5</f>
        <v>140603</v>
      </c>
      <c r="E147" s="16">
        <f>'Income Statement'!E5</f>
        <v>134979.13</v>
      </c>
      <c r="F147" s="16">
        <f>'Income Statement'!F5</f>
        <v>126786.13</v>
      </c>
      <c r="G147" s="16">
        <f>'Income Statement'!G5</f>
        <v>109713.5</v>
      </c>
    </row>
    <row r="148" spans="2:12" ht="18.75" x14ac:dyDescent="0.25">
      <c r="B148" s="15" t="str">
        <f>'Balance Sheet'!B36</f>
        <v>Inventories</v>
      </c>
      <c r="C148" s="16">
        <f>'Balance Sheet'!C36</f>
        <v>6443.85</v>
      </c>
      <c r="D148" s="16">
        <f>'Balance Sheet'!D36</f>
        <v>5583.93</v>
      </c>
      <c r="E148" s="16">
        <f>'Balance Sheet'!E36</f>
        <v>6617.98</v>
      </c>
      <c r="F148" s="16">
        <f>'Balance Sheet'!F36</f>
        <v>8947.4699999999993</v>
      </c>
      <c r="G148" s="16">
        <f>'Balance Sheet'!G36</f>
        <v>7075.68</v>
      </c>
    </row>
    <row r="149" spans="2:12" ht="18.75" x14ac:dyDescent="0.25">
      <c r="B149" s="15" t="s">
        <v>192</v>
      </c>
      <c r="C149" s="16">
        <f>ROUND(365/C147*C148, 2)</f>
        <v>18.5</v>
      </c>
      <c r="D149" s="16">
        <f t="shared" ref="D149:G149" si="31">ROUND(365/D147*D148, 2)</f>
        <v>14.5</v>
      </c>
      <c r="E149" s="16">
        <f t="shared" si="31"/>
        <v>17.899999999999999</v>
      </c>
      <c r="F149" s="16">
        <f t="shared" si="31"/>
        <v>25.76</v>
      </c>
      <c r="G149" s="16">
        <f t="shared" si="31"/>
        <v>23.54</v>
      </c>
    </row>
    <row r="150" spans="2:12" ht="18.75" x14ac:dyDescent="0.25">
      <c r="B150" s="15" t="str">
        <f>'Income Statement'!B11</f>
        <v>Cost Of Materials Consumed</v>
      </c>
      <c r="C150" s="16">
        <f>'Income Statement'!C11</f>
        <v>9345.99</v>
      </c>
      <c r="D150" s="16">
        <f>'Income Statement'!D11</f>
        <v>9774.51</v>
      </c>
      <c r="E150" s="16">
        <f>'Income Statement'!E11</f>
        <v>9552.7800000000007</v>
      </c>
      <c r="F150" s="16">
        <f>'Income Statement'!F11</f>
        <v>10123.540000000001</v>
      </c>
      <c r="G150" s="16">
        <f>'Income Statement'!G11</f>
        <v>9442.18</v>
      </c>
    </row>
    <row r="151" spans="2:12" ht="18.75" x14ac:dyDescent="0.25">
      <c r="B151" s="15" t="str">
        <f>'Balance Sheet'!B19</f>
        <v>Total Current Liabilities</v>
      </c>
      <c r="C151" s="16">
        <f>'Balance Sheet'!C19</f>
        <v>105751.77</v>
      </c>
      <c r="D151" s="16">
        <f>'Balance Sheet'!D19</f>
        <v>103655.38999999998</v>
      </c>
      <c r="E151" s="16">
        <f>'Balance Sheet'!E19</f>
        <v>111043.45</v>
      </c>
      <c r="F151" s="16">
        <f>'Balance Sheet'!F19</f>
        <v>118223.88</v>
      </c>
      <c r="G151" s="16">
        <f>'Balance Sheet'!G19</f>
        <v>132305.72</v>
      </c>
    </row>
    <row r="152" spans="2:12" ht="18.75" x14ac:dyDescent="0.25">
      <c r="B152" s="15" t="s">
        <v>194</v>
      </c>
      <c r="C152" s="16">
        <f>ROUND(365/C150*C151, 2)</f>
        <v>4130.05</v>
      </c>
      <c r="D152" s="16">
        <f t="shared" ref="D152:G152" si="32">ROUND(365/D150*D151, 2)</f>
        <v>3870.7</v>
      </c>
      <c r="E152" s="16">
        <f t="shared" si="32"/>
        <v>4242.83</v>
      </c>
      <c r="F152" s="16">
        <f t="shared" si="32"/>
        <v>4262.51</v>
      </c>
      <c r="G152" s="16">
        <f t="shared" si="32"/>
        <v>5114.45</v>
      </c>
    </row>
    <row r="153" spans="2:12" ht="18.75" x14ac:dyDescent="0.25">
      <c r="B153" s="15" t="s">
        <v>200</v>
      </c>
      <c r="C153" s="16">
        <f>ROUND(C152+C149, 2)</f>
        <v>4148.55</v>
      </c>
      <c r="D153" s="16">
        <f t="shared" ref="D153:G153" si="33">ROUND(D152+D149, 2)</f>
        <v>3885.2</v>
      </c>
      <c r="E153" s="16">
        <f t="shared" si="33"/>
        <v>4260.7299999999996</v>
      </c>
      <c r="F153" s="16">
        <f t="shared" si="33"/>
        <v>4288.2700000000004</v>
      </c>
      <c r="G153" s="16">
        <f t="shared" si="33"/>
        <v>5137.99</v>
      </c>
    </row>
    <row r="154" spans="2:12" ht="19.5" thickBot="1" x14ac:dyDescent="0.3">
      <c r="B154" s="15" t="str">
        <f>'Income Statement'!B11</f>
        <v>Cost Of Materials Consumed</v>
      </c>
      <c r="C154" s="16">
        <f>'Income Statement'!C11</f>
        <v>9345.99</v>
      </c>
      <c r="D154" s="16">
        <f>'Income Statement'!D11</f>
        <v>9774.51</v>
      </c>
      <c r="E154" s="16">
        <f>'Income Statement'!E11</f>
        <v>9552.7800000000007</v>
      </c>
      <c r="F154" s="16">
        <f>'Income Statement'!F11</f>
        <v>10123.540000000001</v>
      </c>
      <c r="G154" s="16">
        <f>'Income Statement'!G11</f>
        <v>9442.18</v>
      </c>
    </row>
    <row r="155" spans="2:12" ht="19.5" thickTop="1" x14ac:dyDescent="0.25">
      <c r="B155" s="15" t="str">
        <f>'Balance Sheet'!B19</f>
        <v>Total Current Liabilities</v>
      </c>
      <c r="C155" s="16">
        <f>'Balance Sheet'!C19</f>
        <v>105751.77</v>
      </c>
      <c r="D155" s="16">
        <f>'Balance Sheet'!D19</f>
        <v>103655.38999999998</v>
      </c>
      <c r="E155" s="16">
        <f>'Balance Sheet'!E19</f>
        <v>111043.45</v>
      </c>
      <c r="F155" s="16">
        <f>'Balance Sheet'!F19</f>
        <v>118223.88</v>
      </c>
      <c r="G155" s="16">
        <f>'Balance Sheet'!G19</f>
        <v>132305.72</v>
      </c>
      <c r="I155" s="18"/>
      <c r="J155" s="19"/>
      <c r="K155" s="19"/>
      <c r="L155" s="20"/>
    </row>
    <row r="156" spans="2:12" ht="18.75" x14ac:dyDescent="0.25">
      <c r="B156" s="15" t="s">
        <v>194</v>
      </c>
      <c r="C156" s="16">
        <f>ROUND(365/C154*C155, 2)</f>
        <v>4130.05</v>
      </c>
      <c r="D156" s="16">
        <f t="shared" ref="D156:G156" si="34">ROUND(365/D154*D155, 2)</f>
        <v>3870.7</v>
      </c>
      <c r="E156" s="16">
        <f t="shared" si="34"/>
        <v>4242.83</v>
      </c>
      <c r="F156" s="16">
        <f t="shared" si="34"/>
        <v>4262.51</v>
      </c>
      <c r="G156" s="16">
        <f t="shared" si="34"/>
        <v>5114.45</v>
      </c>
      <c r="I156" s="21"/>
      <c r="J156" s="22"/>
      <c r="K156" s="22"/>
      <c r="L156" s="23"/>
    </row>
    <row r="157" spans="2:12" ht="19.5" thickBot="1" x14ac:dyDescent="0.3">
      <c r="B157" s="17" t="s">
        <v>201</v>
      </c>
      <c r="C157" s="28">
        <f>ROUND(C156-C153, 2)</f>
        <v>-18.5</v>
      </c>
      <c r="D157" s="28">
        <f t="shared" ref="D157:G157" si="35">ROUND(D156-D153, 2)</f>
        <v>-14.5</v>
      </c>
      <c r="E157" s="28">
        <f t="shared" si="35"/>
        <v>-17.899999999999999</v>
      </c>
      <c r="F157" s="28">
        <f t="shared" si="35"/>
        <v>-25.76</v>
      </c>
      <c r="G157" s="28">
        <f t="shared" si="35"/>
        <v>-23.54</v>
      </c>
      <c r="I157" s="24"/>
      <c r="J157" s="25"/>
      <c r="K157" s="25"/>
      <c r="L157" s="26"/>
    </row>
    <row r="158" spans="2:12" ht="15.75" thickTop="1" x14ac:dyDescent="0.25"/>
  </sheetData>
  <mergeCells count="54">
    <mergeCell ref="B132:G132"/>
    <mergeCell ref="I133:L135"/>
    <mergeCell ref="B137:G137"/>
    <mergeCell ref="I142:L144"/>
    <mergeCell ref="B146:G146"/>
    <mergeCell ref="I155:L157"/>
    <mergeCell ref="B117:G117"/>
    <mergeCell ref="I118:L120"/>
    <mergeCell ref="B122:G122"/>
    <mergeCell ref="I123:L125"/>
    <mergeCell ref="B127:G127"/>
    <mergeCell ref="I128:L130"/>
    <mergeCell ref="B102:G102"/>
    <mergeCell ref="I103:L105"/>
    <mergeCell ref="B107:G107"/>
    <mergeCell ref="I108:L110"/>
    <mergeCell ref="B112:G112"/>
    <mergeCell ref="I113:L115"/>
    <mergeCell ref="B87:G87"/>
    <mergeCell ref="I88:L90"/>
    <mergeCell ref="B92:G92"/>
    <mergeCell ref="I93:L95"/>
    <mergeCell ref="B97:G97"/>
    <mergeCell ref="I98:L100"/>
    <mergeCell ref="B71:G71"/>
    <mergeCell ref="I73:L75"/>
    <mergeCell ref="B77:G77"/>
    <mergeCell ref="I78:L80"/>
    <mergeCell ref="B82:G82"/>
    <mergeCell ref="I83:L85"/>
    <mergeCell ref="B56:G56"/>
    <mergeCell ref="I57:L59"/>
    <mergeCell ref="B61:G61"/>
    <mergeCell ref="I62:L64"/>
    <mergeCell ref="B66:G66"/>
    <mergeCell ref="I67:L69"/>
    <mergeCell ref="B40:G40"/>
    <mergeCell ref="I41:L43"/>
    <mergeCell ref="B45:G45"/>
    <mergeCell ref="I46:L48"/>
    <mergeCell ref="B50:G50"/>
    <mergeCell ref="I52:L54"/>
    <mergeCell ref="B20:G20"/>
    <mergeCell ref="I25:L27"/>
    <mergeCell ref="B29:G29"/>
    <mergeCell ref="I31:L33"/>
    <mergeCell ref="B35:G35"/>
    <mergeCell ref="I36:L38"/>
    <mergeCell ref="B5:G5"/>
    <mergeCell ref="I6:L8"/>
    <mergeCell ref="B10:G10"/>
    <mergeCell ref="I11:L13"/>
    <mergeCell ref="B15:G15"/>
    <mergeCell ref="I16:L18"/>
  </mergeCells>
  <pageMargins left="0.7" right="0.7" top="0.75" bottom="0.75" header="0.3" footer="0.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high="1" xr2:uid="{0AEE21D8-BDD5-4502-A616-9B6FCA41E7EF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Ratios!$C$157:$G$157</xm:f>
              <xm:sqref>I155</xm:sqref>
            </x14:sparkline>
          </x14:sparklines>
        </x14:sparklineGroup>
        <x14:sparklineGroup type="column" displayEmptyCellsAs="gap" high="1" xr2:uid="{1D361210-4C19-4EA0-8536-03FA2EB16E07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Ratios!$C$144:$G$144</xm:f>
              <xm:sqref>I142</xm:sqref>
            </x14:sparkline>
          </x14:sparklines>
        </x14:sparklineGroup>
        <x14:sparklineGroup type="column" displayEmptyCellsAs="gap" high="1" xr2:uid="{CDC416AD-BDD0-4E99-A0F7-A487CB8303B2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Ratios!$C$135:$G$135</xm:f>
              <xm:sqref>I133</xm:sqref>
            </x14:sparkline>
          </x14:sparklines>
        </x14:sparklineGroup>
        <x14:sparklineGroup type="column" displayEmptyCellsAs="gap" high="1" xr2:uid="{A73B3E65-3E7C-43F8-9F58-4EFD2BBB6E87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Ratios!$C$130:$G$130</xm:f>
              <xm:sqref>I128</xm:sqref>
            </x14:sparkline>
          </x14:sparklines>
        </x14:sparklineGroup>
        <x14:sparklineGroup type="column" displayEmptyCellsAs="gap" high="1" xr2:uid="{FC1B6A19-7545-4D0F-BC1C-AA30E3742B55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Ratios!$C$125:$G$125</xm:f>
              <xm:sqref>I123</xm:sqref>
            </x14:sparkline>
          </x14:sparklines>
        </x14:sparklineGroup>
        <x14:sparklineGroup type="column" displayEmptyCellsAs="gap" high="1" xr2:uid="{55F65BF7-1B1D-410B-95AD-FC029F12E49B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Ratios!$C$120:$G$120</xm:f>
              <xm:sqref>I118</xm:sqref>
            </x14:sparkline>
          </x14:sparklines>
        </x14:sparklineGroup>
        <x14:sparklineGroup type="column" displayEmptyCellsAs="gap" high="1" xr2:uid="{14E238C0-C2B9-4ABD-BF12-5D7AC97D84D7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Ratios!$C$115:$G$115</xm:f>
              <xm:sqref>I113</xm:sqref>
            </x14:sparkline>
          </x14:sparklines>
        </x14:sparklineGroup>
        <x14:sparklineGroup type="column" displayEmptyCellsAs="gap" high="1" xr2:uid="{08996EE5-FC85-4338-BD58-AFE312D94081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Ratios!$C$110:$G$110</xm:f>
              <xm:sqref>I108</xm:sqref>
            </x14:sparkline>
          </x14:sparklines>
        </x14:sparklineGroup>
        <x14:sparklineGroup type="column" displayEmptyCellsAs="gap" high="1" xr2:uid="{E44B0916-3335-4A6E-A962-137C88324FFD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Ratios!$C$105:$G$105</xm:f>
              <xm:sqref>I103</xm:sqref>
            </x14:sparkline>
          </x14:sparklines>
        </x14:sparklineGroup>
        <x14:sparklineGroup type="column" displayEmptyCellsAs="gap" high="1" xr2:uid="{5550F3BB-3470-4EC2-845F-0DD1FD6A70DD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Ratios!$C$100:$G$100</xm:f>
              <xm:sqref>I98</xm:sqref>
            </x14:sparkline>
          </x14:sparklines>
        </x14:sparklineGroup>
        <x14:sparklineGroup type="column" displayEmptyCellsAs="gap" high="1" xr2:uid="{64A38C69-30D2-4490-B32C-33F2E6330BFC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Ratios!$C$95:$G$95</xm:f>
              <xm:sqref>I93</xm:sqref>
            </x14:sparkline>
          </x14:sparklines>
        </x14:sparklineGroup>
        <x14:sparklineGroup type="column" displayEmptyCellsAs="gap" high="1" xr2:uid="{AA2D8E32-77CC-47E5-AB5D-DF521AD5C994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Ratios!$C$90:$G$90</xm:f>
              <xm:sqref>I88</xm:sqref>
            </x14:sparkline>
          </x14:sparklines>
        </x14:sparklineGroup>
        <x14:sparklineGroup type="column" displayEmptyCellsAs="gap" high="1" xr2:uid="{F4FC76ED-8507-4A46-A64C-1D2C5B12F358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Ratios!$C$85:$G$85</xm:f>
              <xm:sqref>I83</xm:sqref>
            </x14:sparkline>
          </x14:sparklines>
        </x14:sparklineGroup>
        <x14:sparklineGroup type="column" displayEmptyCellsAs="gap" high="1" xr2:uid="{05ADDB51-EF59-430C-B9D8-50379CDEB7FD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Ratios!$C$80:$G$80</xm:f>
              <xm:sqref>I78</xm:sqref>
            </x14:sparkline>
          </x14:sparklines>
        </x14:sparklineGroup>
        <x14:sparklineGroup type="column" displayEmptyCellsAs="gap" high="1" xr2:uid="{1254B4E4-C8A2-4F16-881F-0B21D874B681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Ratios!$C$75:$G$75</xm:f>
              <xm:sqref>I73</xm:sqref>
            </x14:sparkline>
          </x14:sparklines>
        </x14:sparklineGroup>
        <x14:sparklineGroup type="column" displayEmptyCellsAs="gap" high="1" xr2:uid="{D1DC1BDA-BF3B-4705-B5C9-74CA8EBE0751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Ratios!$C$69:$G$69</xm:f>
              <xm:sqref>I67</xm:sqref>
            </x14:sparkline>
          </x14:sparklines>
        </x14:sparklineGroup>
        <x14:sparklineGroup type="column" displayEmptyCellsAs="gap" high="1" xr2:uid="{1E065ED2-6CC1-4E24-A1D1-3C1D16A8F583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Ratios!$C$64:$G$64</xm:f>
              <xm:sqref>I62</xm:sqref>
            </x14:sparkline>
          </x14:sparklines>
        </x14:sparklineGroup>
        <x14:sparklineGroup type="column" displayEmptyCellsAs="gap" high="1" xr2:uid="{CAB4B8B8-46D3-42D1-8438-3AF3068DED3D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Ratios!$C$59:$G$59</xm:f>
              <xm:sqref>I57</xm:sqref>
            </x14:sparkline>
          </x14:sparklines>
        </x14:sparklineGroup>
        <x14:sparklineGroup type="column" displayEmptyCellsAs="gap" high="1" xr2:uid="{DB4DCC97-6E87-4B3D-A92B-8D7CF4060BEB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Ratios!$C$54:$G$54</xm:f>
              <xm:sqref>I52</xm:sqref>
            </x14:sparkline>
          </x14:sparklines>
        </x14:sparklineGroup>
        <x14:sparklineGroup type="column" displayEmptyCellsAs="gap" high="1" xr2:uid="{CAF9A301-B595-4646-9A1A-F0FF090EA83F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Ratios!$C$48:$G$48</xm:f>
              <xm:sqref>I46</xm:sqref>
            </x14:sparkline>
          </x14:sparklines>
        </x14:sparklineGroup>
        <x14:sparklineGroup type="column" displayEmptyCellsAs="gap" high="1" xr2:uid="{BACFE437-F010-4ABD-BFCC-9DC88FD4D7F2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Ratios!$C$43:$G$43</xm:f>
              <xm:sqref>I41</xm:sqref>
            </x14:sparkline>
          </x14:sparklines>
        </x14:sparklineGroup>
        <x14:sparklineGroup type="column" displayEmptyCellsAs="gap" high="1" xr2:uid="{209914D8-D65F-4286-A598-5990EA3FE183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Ratios!$C$38:$G$38</xm:f>
              <xm:sqref>I36</xm:sqref>
            </x14:sparkline>
          </x14:sparklines>
        </x14:sparklineGroup>
        <x14:sparklineGroup type="column" displayEmptyCellsAs="gap" high="1" xr2:uid="{E040B12A-3E11-480E-9C91-DD9217D5B284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Ratios!$C$33:$G$33</xm:f>
              <xm:sqref>I31</xm:sqref>
            </x14:sparkline>
          </x14:sparklines>
        </x14:sparklineGroup>
        <x14:sparklineGroup type="column" displayEmptyCellsAs="gap" high="1" xr2:uid="{BDF387C6-EA8B-4521-A3FE-7B7A6ADD8A44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Ratios!$C$27:$G$27</xm:f>
              <xm:sqref>I25</xm:sqref>
            </x14:sparkline>
          </x14:sparklines>
        </x14:sparklineGroup>
        <x14:sparklineGroup type="column" displayEmptyCellsAs="gap" high="1" xr2:uid="{0AE51D64-7B20-4078-8E07-762A759D17FD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Ratios!$C$18:$G$18</xm:f>
              <xm:sqref>I16</xm:sqref>
            </x14:sparkline>
          </x14:sparklines>
        </x14:sparklineGroup>
        <x14:sparklineGroup type="column" displayEmptyCellsAs="gap" high="1" xr2:uid="{79D387F5-A991-4B38-935D-90F68E436DED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Ratios!$C$13:$G$13</xm:f>
              <xm:sqref>I11</xm:sqref>
            </x14:sparkline>
          </x14:sparklines>
        </x14:sparklineGroup>
        <x14:sparklineGroup type="column" displayEmptyCellsAs="gap" high="1" xr2:uid="{A36186B1-208D-4ABD-9726-3832A2AD7FC7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Ratios!$C$8:$G$8</xm:f>
              <xm:sqref>I6</xm:sqref>
            </x14:sparkline>
          </x14:sparklines>
        </x14:sparklineGroup>
      </x14:sparklineGroup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33C320-D311-4525-9E7D-9371DA0822BC}">
  <dimension ref="B3:G8"/>
  <sheetViews>
    <sheetView showGridLines="0" workbookViewId="0">
      <selection activeCell="B8" sqref="B8"/>
    </sheetView>
  </sheetViews>
  <sheetFormatPr defaultRowHeight="15" x14ac:dyDescent="0.25"/>
  <cols>
    <col min="2" max="2" width="41.140625" bestFit="1" customWidth="1"/>
    <col min="3" max="3" width="11.5703125" bestFit="1" customWidth="1"/>
    <col min="4" max="4" width="13.140625" bestFit="1" customWidth="1"/>
    <col min="5" max="6" width="11.5703125" bestFit="1" customWidth="1"/>
    <col min="7" max="7" width="13.140625" bestFit="1" customWidth="1"/>
  </cols>
  <sheetData>
    <row r="3" spans="2:7" ht="18.75" x14ac:dyDescent="0.25">
      <c r="B3" s="13" t="s">
        <v>144</v>
      </c>
      <c r="C3" s="13">
        <v>2018</v>
      </c>
      <c r="D3" s="13">
        <v>2019</v>
      </c>
      <c r="E3" s="13">
        <v>2020</v>
      </c>
      <c r="F3" s="13">
        <v>2021</v>
      </c>
      <c r="G3" s="13">
        <v>2022</v>
      </c>
    </row>
    <row r="5" spans="2:7" ht="18.75" x14ac:dyDescent="0.25">
      <c r="B5" s="14" t="s">
        <v>145</v>
      </c>
      <c r="C5" s="14"/>
      <c r="D5" s="14"/>
      <c r="E5" s="14"/>
      <c r="F5" s="14"/>
      <c r="G5" s="14"/>
    </row>
    <row r="6" spans="2:7" ht="18.75" x14ac:dyDescent="0.25">
      <c r="B6" s="15" t="str">
        <f>'Income Statement'!B27</f>
        <v>Reported Net Profit(PAT)</v>
      </c>
      <c r="C6" s="16">
        <f>'Income Statement'!C27</f>
        <v>4909.9900000000052</v>
      </c>
      <c r="D6" s="16">
        <f>'Income Statement'!D27</f>
        <v>11784.159999999993</v>
      </c>
      <c r="E6" s="16">
        <f>'Income Statement'!E27</f>
        <v>9159.5299999999916</v>
      </c>
      <c r="F6" s="16">
        <f>'Income Statement'!F27</f>
        <v>4362.6600000000108</v>
      </c>
      <c r="G6" s="16">
        <f>'Income Statement'!G27</f>
        <v>19799.060000000001</v>
      </c>
    </row>
    <row r="7" spans="2:7" ht="18.75" x14ac:dyDescent="0.25">
      <c r="B7" s="15" t="str">
        <f>'Income Statement'!B35</f>
        <v>Total Shares Outstanding(cr)</v>
      </c>
      <c r="C7" s="16">
        <f>'Income Statement'!C35</f>
        <v>446.36272727272774</v>
      </c>
      <c r="D7" s="16">
        <f>'Income Statement'!D35</f>
        <v>420.86285714285685</v>
      </c>
      <c r="E7" s="16">
        <f>'Income Statement'!E35</f>
        <v>339.24185185185155</v>
      </c>
      <c r="F7" s="16">
        <f>'Income Statement'!F35</f>
        <v>207.7457142857148</v>
      </c>
      <c r="G7" s="16">
        <f>'Income Statement'!G35</f>
        <v>707.10928571428576</v>
      </c>
    </row>
    <row r="8" spans="2:7" ht="18.75" x14ac:dyDescent="0.25">
      <c r="B8" s="17" t="s">
        <v>146</v>
      </c>
      <c r="C8" s="17">
        <f>ROUND(C6/C7, 2)</f>
        <v>11</v>
      </c>
      <c r="D8" s="17">
        <f t="shared" ref="D8:G8" si="0">ROUND(D6/D7, 2)</f>
        <v>28</v>
      </c>
      <c r="E8" s="17">
        <f t="shared" si="0"/>
        <v>27</v>
      </c>
      <c r="F8" s="17">
        <f t="shared" si="0"/>
        <v>21</v>
      </c>
      <c r="G8" s="17">
        <f t="shared" si="0"/>
        <v>28</v>
      </c>
    </row>
  </sheetData>
  <mergeCells count="1">
    <mergeCell ref="B5:G5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9C73E9-AF72-451E-8B6B-4767371EB298}">
  <dimension ref="B3:G8"/>
  <sheetViews>
    <sheetView showGridLines="0" workbookViewId="0">
      <selection activeCell="B8" sqref="B8"/>
    </sheetView>
  </sheetViews>
  <sheetFormatPr defaultRowHeight="15" x14ac:dyDescent="0.25"/>
  <cols>
    <col min="2" max="2" width="41.140625" bestFit="1" customWidth="1"/>
    <col min="3" max="3" width="13.140625" bestFit="1" customWidth="1"/>
    <col min="4" max="6" width="11.5703125" bestFit="1" customWidth="1"/>
    <col min="7" max="7" width="10" bestFit="1" customWidth="1"/>
  </cols>
  <sheetData>
    <row r="3" spans="2:7" ht="18.75" x14ac:dyDescent="0.25">
      <c r="B3" s="13" t="s">
        <v>144</v>
      </c>
      <c r="C3" s="13">
        <v>2018</v>
      </c>
      <c r="D3" s="13">
        <v>2019</v>
      </c>
      <c r="E3" s="13">
        <v>2020</v>
      </c>
      <c r="F3" s="13">
        <v>2021</v>
      </c>
      <c r="G3" s="13">
        <v>2022</v>
      </c>
    </row>
    <row r="5" spans="2:7" ht="18.75" x14ac:dyDescent="0.25">
      <c r="B5" s="14" t="s">
        <v>147</v>
      </c>
      <c r="C5" s="14"/>
      <c r="D5" s="14"/>
      <c r="E5" s="14"/>
      <c r="F5" s="14"/>
      <c r="G5" s="14"/>
    </row>
    <row r="6" spans="2:7" ht="18.75" x14ac:dyDescent="0.25">
      <c r="B6" s="15" t="str">
        <f>'Income Statement'!B28</f>
        <v>Equity Share Dividend</v>
      </c>
      <c r="C6" s="16">
        <f>'Income Statement'!C28</f>
        <v>10242.24</v>
      </c>
      <c r="D6" s="16">
        <f>'Income Statement'!D28</f>
        <v>8105.58</v>
      </c>
      <c r="E6" s="16">
        <f>'Income Statement'!E28</f>
        <v>7395.27</v>
      </c>
      <c r="F6" s="16">
        <f>'Income Statement'!F28</f>
        <v>7703.44</v>
      </c>
      <c r="G6" s="16">
        <f>'Income Statement'!G28</f>
        <v>0</v>
      </c>
    </row>
    <row r="7" spans="2:7" ht="18.75" x14ac:dyDescent="0.25">
      <c r="B7" s="15" t="str">
        <f>'Income Statement'!B35</f>
        <v>Total Shares Outstanding(cr)</v>
      </c>
      <c r="C7" s="16">
        <f>'Income Statement'!C35</f>
        <v>446.36272727272774</v>
      </c>
      <c r="D7" s="16">
        <f>'Income Statement'!D35</f>
        <v>420.86285714285685</v>
      </c>
      <c r="E7" s="16">
        <f>'Income Statement'!E35</f>
        <v>339.24185185185155</v>
      </c>
      <c r="F7" s="16">
        <f>'Income Statement'!F35</f>
        <v>207.7457142857148</v>
      </c>
      <c r="G7" s="16">
        <f>'Income Statement'!G35</f>
        <v>707.10928571428576</v>
      </c>
    </row>
    <row r="8" spans="2:7" ht="18.75" x14ac:dyDescent="0.25">
      <c r="B8" s="17" t="s">
        <v>148</v>
      </c>
      <c r="C8" s="17">
        <f>ROUND(C6/C7, 2)</f>
        <v>22.95</v>
      </c>
      <c r="D8" s="17">
        <f t="shared" ref="D8:G8" si="0">ROUND(D6/D7, 2)</f>
        <v>19.260000000000002</v>
      </c>
      <c r="E8" s="17">
        <f t="shared" si="0"/>
        <v>21.8</v>
      </c>
      <c r="F8" s="17">
        <f t="shared" si="0"/>
        <v>37.08</v>
      </c>
      <c r="G8" s="17">
        <f t="shared" si="0"/>
        <v>0</v>
      </c>
    </row>
  </sheetData>
  <mergeCells count="1">
    <mergeCell ref="B5:G5"/>
  </mergeCell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B16C37-9847-4EDA-9800-1DED9A1FCA6B}">
  <dimension ref="B3:G8"/>
  <sheetViews>
    <sheetView showGridLines="0" workbookViewId="0">
      <selection activeCell="B8" sqref="B8"/>
    </sheetView>
  </sheetViews>
  <sheetFormatPr defaultRowHeight="15" x14ac:dyDescent="0.25"/>
  <cols>
    <col min="2" max="2" width="41.140625" bestFit="1" customWidth="1"/>
    <col min="3" max="7" width="13.140625" bestFit="1" customWidth="1"/>
  </cols>
  <sheetData>
    <row r="3" spans="2:7" ht="18.75" x14ac:dyDescent="0.25">
      <c r="B3" s="13" t="s">
        <v>144</v>
      </c>
      <c r="C3" s="13">
        <v>2018</v>
      </c>
      <c r="D3" s="13">
        <v>2019</v>
      </c>
      <c r="E3" s="13">
        <v>2020</v>
      </c>
      <c r="F3" s="13">
        <v>2021</v>
      </c>
      <c r="G3" s="13">
        <v>2022</v>
      </c>
    </row>
    <row r="5" spans="2:7" ht="18.75" x14ac:dyDescent="0.25">
      <c r="B5" s="14" t="s">
        <v>149</v>
      </c>
      <c r="C5" s="14"/>
      <c r="D5" s="14"/>
      <c r="E5" s="14"/>
      <c r="F5" s="14"/>
      <c r="G5" s="14"/>
    </row>
    <row r="6" spans="2:7" ht="18.75" x14ac:dyDescent="0.25">
      <c r="B6" s="15" t="str">
        <f>'Balance Sheet'!B9</f>
        <v>Net Worth</v>
      </c>
      <c r="C6" s="16">
        <f>'Balance Sheet'!C9</f>
        <v>19846.57</v>
      </c>
      <c r="D6" s="16">
        <f>'Balance Sheet'!D9</f>
        <v>21646.609999999993</v>
      </c>
      <c r="E6" s="16">
        <f>'Balance Sheet'!E9</f>
        <v>21128.789999999983</v>
      </c>
      <c r="F6" s="16">
        <f>'Balance Sheet'!F9</f>
        <v>17788.009999999995</v>
      </c>
      <c r="G6" s="16">
        <f>'Balance Sheet'!G9</f>
        <v>37587.069999999992</v>
      </c>
    </row>
    <row r="7" spans="2:7" ht="18.75" x14ac:dyDescent="0.25">
      <c r="B7" s="15" t="str">
        <f>'Income Statement'!B35</f>
        <v>Total Shares Outstanding(cr)</v>
      </c>
      <c r="C7" s="16">
        <f>'Income Statement'!C35</f>
        <v>446.36272727272774</v>
      </c>
      <c r="D7" s="16">
        <f>'Income Statement'!D35</f>
        <v>420.86285714285685</v>
      </c>
      <c r="E7" s="16">
        <f>'Income Statement'!E35</f>
        <v>339.24185185185155</v>
      </c>
      <c r="F7" s="16">
        <f>'Income Statement'!F35</f>
        <v>207.7457142857148</v>
      </c>
      <c r="G7" s="16">
        <f>'Income Statement'!G35</f>
        <v>707.10928571428576</v>
      </c>
    </row>
    <row r="8" spans="2:7" ht="18.75" x14ac:dyDescent="0.25">
      <c r="B8" s="17" t="s">
        <v>150</v>
      </c>
      <c r="C8" s="17">
        <f>ROUND(C6/C7, 2)</f>
        <v>44.46</v>
      </c>
      <c r="D8" s="17">
        <f t="shared" ref="D8:G8" si="0">ROUND(D6/D7, 2)</f>
        <v>51.43</v>
      </c>
      <c r="E8" s="17">
        <f t="shared" si="0"/>
        <v>62.28</v>
      </c>
      <c r="F8" s="17">
        <f t="shared" si="0"/>
        <v>85.62</v>
      </c>
      <c r="G8" s="17">
        <f t="shared" si="0"/>
        <v>53.16</v>
      </c>
    </row>
  </sheetData>
  <mergeCells count="1">
    <mergeCell ref="B5:G5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45</vt:i4>
      </vt:variant>
      <vt:variant>
        <vt:lpstr>Named Ranges</vt:lpstr>
      </vt:variant>
      <vt:variant>
        <vt:i4>84</vt:i4>
      </vt:variant>
    </vt:vector>
  </HeadingPairs>
  <TitlesOfParts>
    <vt:vector size="129" baseType="lpstr">
      <vt:lpstr>BSInput</vt:lpstr>
      <vt:lpstr>ISMInput</vt:lpstr>
      <vt:lpstr>Income Statement</vt:lpstr>
      <vt:lpstr>Balance Sheet</vt:lpstr>
      <vt:lpstr>CashFlow Statement</vt:lpstr>
      <vt:lpstr>Ratios</vt:lpstr>
      <vt:lpstr>Earning  Per Share</vt:lpstr>
      <vt:lpstr>Equity Dividend Per Share</vt:lpstr>
      <vt:lpstr>Book Value  Per Share</vt:lpstr>
      <vt:lpstr>Dividend Pay Out Ratio</vt:lpstr>
      <vt:lpstr>Dividend Retention Ratio</vt:lpstr>
      <vt:lpstr>Gross Profit</vt:lpstr>
      <vt:lpstr>Net Profit</vt:lpstr>
      <vt:lpstr>Return On Assets</vt:lpstr>
      <vt:lpstr>Return On Capital Employeed</vt:lpstr>
      <vt:lpstr>Return On Equity</vt:lpstr>
      <vt:lpstr>Debt Equity Ratio</vt:lpstr>
      <vt:lpstr>Current Ratio</vt:lpstr>
      <vt:lpstr>Quick Ratio</vt:lpstr>
      <vt:lpstr>Interest Coverage Ratio</vt:lpstr>
      <vt:lpstr>Material Consumed</vt:lpstr>
      <vt:lpstr>Defensive Interval Ratio</vt:lpstr>
      <vt:lpstr>Purchases Per Day</vt:lpstr>
      <vt:lpstr>Asset TurnOver Ratio</vt:lpstr>
      <vt:lpstr>Inventory TurnOver Ratio</vt:lpstr>
      <vt:lpstr>Debtors TurnOver Ratio</vt:lpstr>
      <vt:lpstr>Fixed Assets TurnOver Ratio</vt:lpstr>
      <vt:lpstr>Payable TurnOver Ratio</vt:lpstr>
      <vt:lpstr>Inventory Days</vt:lpstr>
      <vt:lpstr>Payable Days</vt:lpstr>
      <vt:lpstr>Receivable Days</vt:lpstr>
      <vt:lpstr>Operating Cycle</vt:lpstr>
      <vt:lpstr>Cash Conversion Cycle Days</vt:lpstr>
      <vt:lpstr>NetWorthVsTotalLiabilties</vt:lpstr>
      <vt:lpstr>PBDITvsPBIT</vt:lpstr>
      <vt:lpstr>CAvsCL</vt:lpstr>
      <vt:lpstr>Long And Short Term Provisions</vt:lpstr>
      <vt:lpstr>MaterialConsumed_DirectExpenses</vt:lpstr>
      <vt:lpstr>Gross Sales In Total Income</vt:lpstr>
      <vt:lpstr>Total_Debt_In_Liabilities</vt:lpstr>
      <vt:lpstr>Total_CL_In_Liabilities</vt:lpstr>
      <vt:lpstr>Total_NCA_In_Assets</vt:lpstr>
      <vt:lpstr>Total_CA_In_Assets</vt:lpstr>
      <vt:lpstr>TotalExpenditureVsTotalIncome</vt:lpstr>
      <vt:lpstr>Net Profit CF To Balance Sheet</vt:lpstr>
      <vt:lpstr>AmountCFtoBalanceSheet</vt:lpstr>
      <vt:lpstr>AssetTurnOverRatio</vt:lpstr>
      <vt:lpstr>BookValuePerShare</vt:lpstr>
      <vt:lpstr>CapitalWorkInProgress</vt:lpstr>
      <vt:lpstr>CashAndCashEquivalents</vt:lpstr>
      <vt:lpstr>CashCFtoBalanceSheet</vt:lpstr>
      <vt:lpstr>CostOfMaterialsConsumed</vt:lpstr>
      <vt:lpstr>CurrentInvestments</vt:lpstr>
      <vt:lpstr>CurrentRatio</vt:lpstr>
      <vt:lpstr>DebtEquityRatio</vt:lpstr>
      <vt:lpstr>DebtorsTurnOverRatio</vt:lpstr>
      <vt:lpstr>DefensiveIntervalRatio</vt:lpstr>
      <vt:lpstr>DeferredTaxAssetsNet</vt:lpstr>
      <vt:lpstr>DeferredTaxLiabilitiesNet</vt:lpstr>
      <vt:lpstr>Depreciation</vt:lpstr>
      <vt:lpstr>DepreciationAndAmortisationExpenses</vt:lpstr>
      <vt:lpstr>EarningPerShare</vt:lpstr>
      <vt:lpstr>EmployeeBenefitExpenses</vt:lpstr>
      <vt:lpstr>EquityDividendPerShare</vt:lpstr>
      <vt:lpstr>EquityShareCapital</vt:lpstr>
      <vt:lpstr>EquityShareDividend</vt:lpstr>
      <vt:lpstr>ExceptionalItems</vt:lpstr>
      <vt:lpstr>ExciseDuty</vt:lpstr>
      <vt:lpstr>FinanceCosts</vt:lpstr>
      <vt:lpstr>GrossProfit</vt:lpstr>
      <vt:lpstr>GrossSales</vt:lpstr>
      <vt:lpstr>IntangibleAssets</vt:lpstr>
      <vt:lpstr>InterestCoverageRatio</vt:lpstr>
      <vt:lpstr>Inventories</vt:lpstr>
      <vt:lpstr>InventoryTurnOverRatio</vt:lpstr>
      <vt:lpstr>LongTermBorrowings</vt:lpstr>
      <vt:lpstr>LongTermLoansAndAdvances</vt:lpstr>
      <vt:lpstr>LongTermProvisions</vt:lpstr>
      <vt:lpstr>MaterialConsumed</vt:lpstr>
      <vt:lpstr>MinorityInterest</vt:lpstr>
      <vt:lpstr>NetAssets</vt:lpstr>
      <vt:lpstr>NetProfit</vt:lpstr>
      <vt:lpstr>NetSales</vt:lpstr>
      <vt:lpstr>NetWorth</vt:lpstr>
      <vt:lpstr>NonCurrentInvestments</vt:lpstr>
      <vt:lpstr>OperatingAndDirectExpenses</vt:lpstr>
      <vt:lpstr>OperatingProfit</vt:lpstr>
      <vt:lpstr>OtherCurrentAssets</vt:lpstr>
      <vt:lpstr>OtherCurrentLiabilities</vt:lpstr>
      <vt:lpstr>OtherExpenses</vt:lpstr>
      <vt:lpstr>OtherIncome</vt:lpstr>
      <vt:lpstr>OtherLongTermLiabilities</vt:lpstr>
      <vt:lpstr>OtherNonCurrentAssets</vt:lpstr>
      <vt:lpstr>PBDIT</vt:lpstr>
      <vt:lpstr>PBIT</vt:lpstr>
      <vt:lpstr>PBT</vt:lpstr>
      <vt:lpstr>PBTPostExtraOrdinaryItems</vt:lpstr>
      <vt:lpstr>PreferenceShareCapital</vt:lpstr>
      <vt:lpstr>ProfitBeforeshareofAssociates</vt:lpstr>
      <vt:lpstr>QuickRatio</vt:lpstr>
      <vt:lpstr>ReportedNetProfitPAT</vt:lpstr>
      <vt:lpstr>ReservesandSurplus</vt:lpstr>
      <vt:lpstr>ReturnOnAssets</vt:lpstr>
      <vt:lpstr>ReturnOnCapitalEmployeed</vt:lpstr>
      <vt:lpstr>ReturnOnEquity</vt:lpstr>
      <vt:lpstr>ShareOfProfitLossOfAssociates</vt:lpstr>
      <vt:lpstr>SharesOutstanding</vt:lpstr>
      <vt:lpstr>ShortTermBorrowings</vt:lpstr>
      <vt:lpstr>ShortTermLoansAndAdvances</vt:lpstr>
      <vt:lpstr>ShortTermProvisions</vt:lpstr>
      <vt:lpstr>StockAdjustments</vt:lpstr>
      <vt:lpstr>TangibleAssets</vt:lpstr>
      <vt:lpstr>TaxOnDividend</vt:lpstr>
      <vt:lpstr>TotalAssets</vt:lpstr>
      <vt:lpstr>TotalCashFlowfromInvestmentActivities</vt:lpstr>
      <vt:lpstr>TotalCashFromFinancingActivities</vt:lpstr>
      <vt:lpstr>TotalCashfromOperatingActivities</vt:lpstr>
      <vt:lpstr>TotalCurrentAssets</vt:lpstr>
      <vt:lpstr>TotalCurrentLiabilities</vt:lpstr>
      <vt:lpstr>TotalDebt</vt:lpstr>
      <vt:lpstr>TotalExpenditure</vt:lpstr>
      <vt:lpstr>TotalIncome</vt:lpstr>
      <vt:lpstr>TotalLiabilities</vt:lpstr>
      <vt:lpstr>TotalNonCashNonOperatingTransactions</vt:lpstr>
      <vt:lpstr>TotalNonCurrentAssets</vt:lpstr>
      <vt:lpstr>TotalShareCapital</vt:lpstr>
      <vt:lpstr>TotalTaxExpenses</vt:lpstr>
      <vt:lpstr>TradePayables</vt:lpstr>
      <vt:lpstr>TradeReceivables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pavan</dc:creator>
  <cp:lastModifiedBy>pavan</cp:lastModifiedBy>
  <dcterms:created xsi:type="dcterms:W3CDTF">2022-07-03T11:05:34Z</dcterms:created>
  <dcterms:modified xsi:type="dcterms:W3CDTF">2022-07-04T07:12:38Z</dcterms:modified>
</cp:coreProperties>
</file>