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2A2EC10D-954E-4106-BC3D-2B34CD0999C3}" xr6:coauthVersionLast="47" xr6:coauthVersionMax="47" xr10:uidLastSave="{00000000-0000-0000-0000-000000000000}"/>
  <bookViews>
    <workbookView xWindow="-120" yWindow="-120" windowWidth="20730" windowHeight="11160" firstSheet="42" activeTab="44" xr2:uid="{1491DEDD-B744-4078-AFFF-88590F0B618F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 s="1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<sst xmlns="http://schemas.openxmlformats.org/spreadsheetml/2006/main" count="490" uniqueCount="203">
  <si>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Bharat Petroleum Corporation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</si>
  <si>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</si>
  <si>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</si>
  <si>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</si>
  <si>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</si>
  <si>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</si>
  <si>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</si>
  <si>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</si>
  <si>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</si>
  <si>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</si>
  <si>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</si>
  <si>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</si>
  <si>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</si>
  <si>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</si>
  <si>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</si>
  <si>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</si>
  <si>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</si>
  <si>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</si>
  <si>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</si>
  <si>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</si>
  <si>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</si>
  <si>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</si>
  <si>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</si>
  <si>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</si>
  <si>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</si>
  <si>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</si>
  <si>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</si>
  <si>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</si>
  <si>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</si>
  <si>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</si>
  <si>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</si>
  <si>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</si>
  <si>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</si>
  <si>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</si>
  <si>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</si>
  <si>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</si>
  <si>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</si>
  <si>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</si>
  <si>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</si>
  <si>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</si>
  <si>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</si>
  <si>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</si>
  <si>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</si>
  <si>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</si>
  <si>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</si>
  <si>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</si>
  <si>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</si>
  <si>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</si>
  <si>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</si>
  <si>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</si>
  <si>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</si>
  <si>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</si>
  <si>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</si>
  <si>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</si>
  <si>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</si>
  <si>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Bharat Petroleum Corporation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</si>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</sst>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F6C-44B2-9C5D-A5B6B6A6CF9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46</c:v>
                </c:pt>
                <c:pt idx="1">
                  <c:v>40</c:v>
                </c:pt>
                <c:pt idx="2">
                  <c:v>16</c:v>
                </c:pt>
                <c:pt idx="3">
                  <c:v>82</c:v>
                </c:pt>
                <c:pt idx="4">
                  <c:v>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F6C-44B2-9C5D-A5B6B6A6CF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952"/>
        <c:axId val="553814584"/>
      </c:lineChart>
      <c:catAx>
        <c:axId val="5535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584"/>
        <c:crosses val="autoZero"/>
        <c:auto val="0"/>
        <c:lblAlgn val="ctr"/>
        <c:lblOffset val="100"/>
        <c:noMultiLvlLbl val="0"/>
      </c:catAx>
      <c:valAx>
        <c:axId val="553814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1.63</c:v>
                </c:pt>
                <c:pt idx="1">
                  <c:v>0.4</c:v>
                </c:pt>
                <c:pt idx="2">
                  <c:v>0.22</c:v>
                </c:pt>
                <c:pt idx="3">
                  <c:v>0.15</c:v>
                </c:pt>
                <c:pt idx="4">
                  <c:v>0.13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90-4889-B5B3-4A51B024D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9400"/>
        <c:axId val="104320384"/>
      </c:lineChart>
      <c:catAx>
        <c:axId val="104319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1043194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744-4872-8857-A646FBB89C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1.1599999999999999</c:v>
                </c:pt>
                <c:pt idx="1">
                  <c:v>0.28999999999999998</c:v>
                </c:pt>
                <c:pt idx="2">
                  <c:v>0.21</c:v>
                </c:pt>
                <c:pt idx="3">
                  <c:v>0.11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744-4872-8857-A646FBB89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6000"/>
        <c:axId val="622833376"/>
      </c:lineChart>
      <c:catAx>
        <c:axId val="62283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3376"/>
        <c:crosses val="autoZero"/>
        <c:auto val="0"/>
        <c:lblAlgn val="ctr"/>
        <c:lblOffset val="100"/>
        <c:noMultiLvlLbl val="0"/>
      </c:catAx>
      <c:valAx>
        <c:axId val="62283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EDB-4D91-9AD5-07E805A08EE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EDB-4D91-9AD5-07E805A08EE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DB-4D91-9AD5-07E805A08EE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EDB-4D91-9AD5-07E805A08EE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1.05</c:v>
                </c:pt>
                <c:pt idx="1">
                  <c:v>4.08</c:v>
                </c:pt>
                <c:pt idx="2">
                  <c:v>6.36</c:v>
                </c:pt>
                <c:pt idx="3">
                  <c:v>6.98</c:v>
                </c:pt>
                <c:pt idx="4">
                  <c:v>8.14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DB-4D91-9AD5-07E805A08E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640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640"/>
        <c:crosses val="autoZero"/>
        <c:auto val="0"/>
        <c:lblAlgn val="ctr"/>
        <c:lblOffset val="100"/>
        <c:noMultiLvlLbl val="0"/>
      </c:catAx>
      <c:valAx>
        <c:axId val="44942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184-412F-A888-2B8DDAFC59B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184-412F-A888-2B8DDAFC59B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184-412F-A888-2B8DDAFC59B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B184-412F-A888-2B8DDAFC59B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0.48</c:v>
                </c:pt>
                <c:pt idx="1">
                  <c:v>3.58</c:v>
                </c:pt>
                <c:pt idx="2">
                  <c:v>5.92</c:v>
                </c:pt>
                <c:pt idx="3">
                  <c:v>6.55</c:v>
                </c:pt>
                <c:pt idx="4">
                  <c:v>7.57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184-412F-A888-2B8DDAFC5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6656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656"/>
        <c:crosses val="autoZero"/>
        <c:auto val="0"/>
        <c:lblAlgn val="ctr"/>
        <c:lblOffset val="100"/>
        <c:noMultiLvlLbl val="0"/>
      </c:catAx>
      <c:valAx>
        <c:axId val="44942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B6-463D-AFAE-82B1351CB2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105.59</c:v>
                </c:pt>
                <c:pt idx="1">
                  <c:v>81.03</c:v>
                </c:pt>
                <c:pt idx="2">
                  <c:v>51.46</c:v>
                </c:pt>
                <c:pt idx="3">
                  <c:v>73.569999999999993</c:v>
                </c:pt>
                <c:pt idx="4">
                  <c:v>59.81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B6-463D-AFAE-82B1351CB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6240"/>
        <c:axId val="553646568"/>
      </c:lineChart>
      <c:catAx>
        <c:axId val="5536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568"/>
        <c:crosses val="autoZero"/>
        <c:auto val="0"/>
        <c:lblAlgn val="ctr"/>
        <c:lblOffset val="100"/>
        <c:noMultiLvlLbl val="0"/>
      </c:catAx>
      <c:valAx>
        <c:axId val="553646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6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646-4767-9184-4E4D197923A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646-4767-9184-4E4D197923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0.38</c:v>
                </c:pt>
                <c:pt idx="1">
                  <c:v>0.44</c:v>
                </c:pt>
                <c:pt idx="2">
                  <c:v>0.43</c:v>
                </c:pt>
                <c:pt idx="3">
                  <c:v>0.34</c:v>
                </c:pt>
                <c:pt idx="4">
                  <c:v>0.47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46-4767-9184-4E4D19792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2536"/>
        <c:axId val="558775160"/>
      </c:lineChart>
      <c:catAx>
        <c:axId val="558772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5160"/>
        <c:crosses val="autoZero"/>
        <c:auto val="0"/>
        <c:lblAlgn val="ctr"/>
        <c:lblOffset val="100"/>
        <c:noMultiLvlLbl val="0"/>
      </c:catAx>
      <c:valAx>
        <c:axId val="558775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7725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CDB-4B67-B563-CD4F29503D2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DB-4B67-B563-CD4F29503D2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DB-4B67-B563-CD4F29503D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5.48</c:v>
                </c:pt>
                <c:pt idx="1">
                  <c:v>393.1</c:v>
                </c:pt>
                <c:pt idx="2">
                  <c:v>823.08</c:v>
                </c:pt>
                <c:pt idx="3">
                  <c:v>1814.49</c:v>
                </c:pt>
                <c:pt idx="4">
                  <c:v>1193.1099999999999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DB-4B67-B563-CD4F29503D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095208"/>
        <c:axId val="274096520"/>
      </c:lineChart>
      <c:catAx>
        <c:axId val="27409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4095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760-49E1-8503-4BA5121D324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760-49E1-8503-4BA5121D324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760-49E1-8503-4BA5121D324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760-49E1-8503-4BA5121D324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1353.86</c:v>
                </c:pt>
                <c:pt idx="1">
                  <c:v>140753.12</c:v>
                </c:pt>
                <c:pt idx="2">
                  <c:v>274877.51</c:v>
                </c:pt>
                <c:pt idx="3">
                  <c:v>391620.75</c:v>
                </c:pt>
                <c:pt idx="4">
                  <c:v>534582.86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60-49E1-8503-4BA5121D3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080"/>
        <c:axId val="449426328"/>
      </c:lineChart>
      <c:catAx>
        <c:axId val="44942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328"/>
        <c:crosses val="autoZero"/>
        <c:auto val="0"/>
        <c:lblAlgn val="ctr"/>
        <c:lblOffset val="100"/>
        <c:noMultiLvlLbl val="0"/>
      </c:catAx>
      <c:valAx>
        <c:axId val="449426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539-424B-907F-61DB14624D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2.31</c:v>
                </c:pt>
                <c:pt idx="1">
                  <c:v>1.27</c:v>
                </c:pt>
                <c:pt idx="2">
                  <c:v>0.8</c:v>
                </c:pt>
                <c:pt idx="3">
                  <c:v>0.57999999999999996</c:v>
                </c:pt>
                <c:pt idx="4">
                  <c:v>0.62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539-424B-907F-61DB14624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0424"/>
        <c:axId val="449431248"/>
      </c:lineChart>
      <c:catAx>
        <c:axId val="449420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248"/>
        <c:crosses val="autoZero"/>
        <c:auto val="0"/>
        <c:lblAlgn val="ctr"/>
        <c:lblOffset val="100"/>
        <c:noMultiLvlLbl val="0"/>
      </c:catAx>
      <c:valAx>
        <c:axId val="449431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0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5A2-49EC-802C-8F4FE72D75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12.36</c:v>
                </c:pt>
                <c:pt idx="1">
                  <c:v>14.81</c:v>
                </c:pt>
                <c:pt idx="2">
                  <c:v>14.77</c:v>
                </c:pt>
                <c:pt idx="3">
                  <c:v>11.35</c:v>
                </c:pt>
                <c:pt idx="4">
                  <c:v>10.26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5A2-49EC-802C-8F4FE72D75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1808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808"/>
        <c:crosses val="autoZero"/>
        <c:auto val="0"/>
        <c:lblAlgn val="ctr"/>
        <c:lblOffset val="100"/>
        <c:noMultiLvlLbl val="0"/>
      </c:catAx>
      <c:valAx>
        <c:axId val="447841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B2C-4913-A1BF-A1C1971894B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1.1100000000000001</c:v>
                </c:pt>
                <c:pt idx="1">
                  <c:v>1.04</c:v>
                </c:pt>
                <c:pt idx="2">
                  <c:v>0.59</c:v>
                </c:pt>
                <c:pt idx="3">
                  <c:v>2.98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2C-4913-A1BF-A1C1971894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896"/>
        <c:axId val="553816552"/>
      </c:lineChart>
      <c:catAx>
        <c:axId val="553815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552"/>
        <c:crosses val="autoZero"/>
        <c:auto val="0"/>
        <c:lblAlgn val="ctr"/>
        <c:lblOffset val="100"/>
        <c:noMultiLvlLbl val="0"/>
      </c:catAx>
      <c:valAx>
        <c:axId val="553816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8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9CA-4F36-B1E7-B905F4CDCDF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9CA-4F36-B1E7-B905F4CDCDF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53.48</c:v>
                </c:pt>
                <c:pt idx="1">
                  <c:v>49.18</c:v>
                </c:pt>
                <c:pt idx="2">
                  <c:v>61.1</c:v>
                </c:pt>
                <c:pt idx="3">
                  <c:v>38.700000000000003</c:v>
                </c:pt>
                <c:pt idx="4">
                  <c:v>44.56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9CA-4F36-B1E7-B905F4CDC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3512"/>
        <c:axId val="551902528"/>
      </c:lineChart>
      <c:catAx>
        <c:axId val="551903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902528"/>
        <c:crosses val="autoZero"/>
        <c:auto val="0"/>
        <c:lblAlgn val="ctr"/>
        <c:lblOffset val="100"/>
        <c:noMultiLvlLbl val="0"/>
      </c:catAx>
      <c:valAx>
        <c:axId val="551902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3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A5E-410A-9894-00DED7D8149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6.15</c:v>
                </c:pt>
                <c:pt idx="1">
                  <c:v>6.94</c:v>
                </c:pt>
                <c:pt idx="2">
                  <c:v>5.5</c:v>
                </c:pt>
                <c:pt idx="3">
                  <c:v>4.7699999999999996</c:v>
                </c:pt>
                <c:pt idx="4">
                  <c:v>4.41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5E-410A-9894-00DED7D81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1872"/>
        <c:axId val="447840824"/>
      </c:lineChart>
      <c:catAx>
        <c:axId val="55190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0824"/>
        <c:crosses val="autoZero"/>
        <c:auto val="0"/>
        <c:lblAlgn val="ctr"/>
        <c:lblOffset val="100"/>
        <c:noMultiLvlLbl val="0"/>
      </c:catAx>
      <c:valAx>
        <c:axId val="447840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187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08-4B54-8D40-DCC12C31085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08-4B54-8D40-DCC12C31085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2.29</c:v>
                </c:pt>
                <c:pt idx="1">
                  <c:v>2.82</c:v>
                </c:pt>
                <c:pt idx="2">
                  <c:v>2.42</c:v>
                </c:pt>
                <c:pt idx="3">
                  <c:v>1.26</c:v>
                </c:pt>
                <c:pt idx="4">
                  <c:v>2.23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8-4B54-8D40-DCC12C3108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144448"/>
        <c:axId val="553147072"/>
      </c:lineChart>
      <c:catAx>
        <c:axId val="55314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47072"/>
        <c:crosses val="autoZero"/>
        <c:auto val="0"/>
        <c:lblAlgn val="ctr"/>
        <c:lblOffset val="100"/>
        <c:noMultiLvlLbl val="0"/>
      </c:catAx>
      <c:valAx>
        <c:axId val="5531470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144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D18-481A-998D-A7D5868B6BE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D18-481A-998D-A7D5868B6BE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D18-481A-998D-A7D5868B6B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29.52</c:v>
                </c:pt>
                <c:pt idx="1">
                  <c:v>24.65</c:v>
                </c:pt>
                <c:pt idx="2">
                  <c:v>24.71</c:v>
                </c:pt>
                <c:pt idx="3">
                  <c:v>32.15</c:v>
                </c:pt>
                <c:pt idx="4">
                  <c:v>35.590000000000003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18-481A-998D-A7D5868B6B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19608"/>
        <c:axId val="634520592"/>
      </c:lineChart>
      <c:catAx>
        <c:axId val="63451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0592"/>
        <c:crosses val="autoZero"/>
        <c:auto val="0"/>
        <c:lblAlgn val="ctr"/>
        <c:lblOffset val="100"/>
        <c:noMultiLvlLbl val="0"/>
      </c:catAx>
      <c:valAx>
        <c:axId val="634520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451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B2D-4802-9424-C6E38C7497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B2D-4802-9424-C6E38C7497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159.24</c:v>
                </c:pt>
                <c:pt idx="1">
                  <c:v>129.56</c:v>
                </c:pt>
                <c:pt idx="2">
                  <c:v>150.53</c:v>
                </c:pt>
                <c:pt idx="3">
                  <c:v>289.72000000000003</c:v>
                </c:pt>
                <c:pt idx="4">
                  <c:v>163.63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2D-4802-9424-C6E38C7497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903184"/>
        <c:axId val="560812240"/>
      </c:lineChart>
      <c:catAx>
        <c:axId val="55190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240"/>
        <c:crosses val="autoZero"/>
        <c:auto val="0"/>
        <c:lblAlgn val="ctr"/>
        <c:lblOffset val="100"/>
        <c:noMultiLvlLbl val="0"/>
      </c:catAx>
      <c:valAx>
        <c:axId val="560812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9031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AEC-4B15-B330-4D7095E03AB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AEC-4B15-B330-4D7095E03A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6.83</c:v>
                </c:pt>
                <c:pt idx="1">
                  <c:v>7.42</c:v>
                </c:pt>
                <c:pt idx="2">
                  <c:v>5.97</c:v>
                </c:pt>
                <c:pt idx="3">
                  <c:v>9.43</c:v>
                </c:pt>
                <c:pt idx="4">
                  <c:v>8.19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EC-4B15-B330-4D7095E03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1080"/>
        <c:axId val="622831736"/>
      </c:lineChart>
      <c:catAx>
        <c:axId val="62283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1736"/>
        <c:crosses val="autoZero"/>
        <c:auto val="0"/>
        <c:lblAlgn val="ctr"/>
        <c:lblOffset val="100"/>
        <c:noMultiLvlLbl val="0"/>
      </c:catAx>
      <c:valAx>
        <c:axId val="622831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10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EDF-4617-89E8-3E228FE821D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EDF-4617-89E8-3E228FE821D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188.76</c:v>
                </c:pt>
                <c:pt idx="1">
                  <c:v>154.21</c:v>
                </c:pt>
                <c:pt idx="2">
                  <c:v>175.24</c:v>
                </c:pt>
                <c:pt idx="3">
                  <c:v>321.87</c:v>
                </c:pt>
                <c:pt idx="4">
                  <c:v>199.22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DF-4617-89E8-3E228FE82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514800"/>
        <c:axId val="627515128"/>
      </c:lineChart>
      <c:catAx>
        <c:axId val="62751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5128"/>
        <c:crosses val="autoZero"/>
        <c:auto val="0"/>
        <c:lblAlgn val="ctr"/>
        <c:lblOffset val="100"/>
        <c:noMultiLvlLbl val="0"/>
      </c:catAx>
      <c:valAx>
        <c:axId val="627515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7514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9EE-445F-BAB7-495F6AADC7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-29.52</c:v>
                </c:pt>
                <c:pt idx="1">
                  <c:v>-24.65</c:v>
                </c:pt>
                <c:pt idx="2">
                  <c:v>-24.71</c:v>
                </c:pt>
                <c:pt idx="3">
                  <c:v>-32.15</c:v>
                </c:pt>
                <c:pt idx="4">
                  <c:v>-35.590000000000003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EE-445F-BAB7-495F6AADC7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887288"/>
        <c:axId val="451886632"/>
      </c:lineChart>
      <c:catAx>
        <c:axId val="451887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886632"/>
        <c:crosses val="autoZero"/>
        <c:auto val="0"/>
        <c:lblAlgn val="ctr"/>
        <c:lblOffset val="100"/>
        <c:noMultiLvlLbl val="0"/>
      </c:catAx>
      <c:valAx>
        <c:axId val="451886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51887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36618.57</c:v>
                </c:pt>
                <c:pt idx="1">
                  <c:v>169075.95999999996</c:v>
                </c:pt>
                <c:pt idx="2">
                  <c:v>294938.91999999993</c:v>
                </c:pt>
                <c:pt idx="3">
                  <c:v>415738.99999999988</c:v>
                </c:pt>
                <c:pt idx="4">
                  <c:v>565781.38999999978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255-4925-B30A-BE2335CD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150680"/>
        <c:axId val="55314608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120356.06</c:v>
                </c:pt>
                <c:pt idx="1">
                  <c:v>267241.61999999994</c:v>
                </c:pt>
                <c:pt idx="2">
                  <c:v>409270.13999999996</c:v>
                </c:pt>
                <c:pt idx="3">
                  <c:v>523175.9499999999</c:v>
                </c:pt>
                <c:pt idx="4">
                  <c:v>701404.39999999979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55-4925-B30A-BE2335CD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150680"/>
        <c:axId val="553146088"/>
      </c:lineChart>
      <c:catAx>
        <c:axId val="5531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46088"/>
        <c:crosses val="autoZero"/>
        <c:auto val="1"/>
        <c:lblAlgn val="ctr"/>
        <c:lblOffset val="100"/>
        <c:noMultiLvlLbl val="0"/>
      </c:catAx>
      <c:valAx>
        <c:axId val="553146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50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128085.42999999998</c:v>
                </c:pt>
                <c:pt idx="1">
                  <c:v>146358.77999999997</c:v>
                </c:pt>
                <c:pt idx="2">
                  <c:v>139786.28</c:v>
                </c:pt>
                <c:pt idx="3">
                  <c:v>131133.54</c:v>
                </c:pt>
                <c:pt idx="4">
                  <c:v>161265.91999999998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238-43D0-B21B-B009B6EAD40C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125200.42999999998</c:v>
                </c:pt>
                <c:pt idx="1">
                  <c:v>142941.00999999998</c:v>
                </c:pt>
                <c:pt idx="2">
                  <c:v>135706.19</c:v>
                </c:pt>
                <c:pt idx="3">
                  <c:v>126799.33</c:v>
                </c:pt>
                <c:pt idx="4">
                  <c:v>155831.56999999998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238-43D0-B21B-B009B6EAD4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772208"/>
        <c:axId val="558772864"/>
      </c:barChart>
      <c:catAx>
        <c:axId val="558772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2864"/>
        <c:crosses val="autoZero"/>
        <c:auto val="1"/>
        <c:lblAlgn val="ctr"/>
        <c:lblOffset val="100"/>
        <c:noMultiLvlLbl val="0"/>
      </c:catAx>
      <c:valAx>
        <c:axId val="558772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22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DA9-47A3-85A3-13492981BE9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A9-47A3-85A3-13492981BE9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14.08</c:v>
                </c:pt>
                <c:pt idx="1">
                  <c:v>49.44</c:v>
                </c:pt>
                <c:pt idx="2">
                  <c:v>35.81</c:v>
                </c:pt>
                <c:pt idx="3">
                  <c:v>272.23</c:v>
                </c:pt>
                <c:pt idx="4">
                  <c:v>207.45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DA9-47A3-85A3-13492981B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4032"/>
        <c:axId val="622837640"/>
      </c:lineChart>
      <c:catAx>
        <c:axId val="622834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7640"/>
        <c:crosses val="autoZero"/>
        <c:auto val="0"/>
        <c:lblAlgn val="ctr"/>
        <c:lblOffset val="100"/>
        <c:noMultiLvlLbl val="0"/>
      </c:catAx>
      <c:valAx>
        <c:axId val="6228376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4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41217.449999999997</c:v>
                </c:pt>
                <c:pt idx="1">
                  <c:v>189144.73999999993</c:v>
                </c:pt>
                <c:pt idx="2">
                  <c:v>319616.40999999992</c:v>
                </c:pt>
                <c:pt idx="3">
                  <c:v>436496.55999999994</c:v>
                </c:pt>
                <c:pt idx="4">
                  <c:v>596924.48999999987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43-4B4A-97A1-DE8A5FC9EA1A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39312.69</c:v>
                </c:pt>
                <c:pt idx="1">
                  <c:v>46389.08</c:v>
                </c:pt>
                <c:pt idx="2">
                  <c:v>50271.93</c:v>
                </c:pt>
                <c:pt idx="3">
                  <c:v>62529.440000000002</c:v>
                </c:pt>
                <c:pt idx="4">
                  <c:v>73314.61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243-4B4A-97A1-DE8A5FC9EA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60811584"/>
        <c:axId val="560814864"/>
      </c:barChart>
      <c:catAx>
        <c:axId val="56081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4864"/>
        <c:crosses val="autoZero"/>
        <c:auto val="1"/>
        <c:lblAlgn val="ctr"/>
        <c:lblOffset val="100"/>
        <c:noMultiLvlLbl val="0"/>
      </c:catAx>
      <c:valAx>
        <c:axId val="560814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15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1393.36</c:v>
                </c:pt>
                <c:pt idx="1">
                  <c:v>1537.63</c:v>
                </c:pt>
                <c:pt idx="2">
                  <c:v>1595.99</c:v>
                </c:pt>
                <c:pt idx="3">
                  <c:v>1608.89</c:v>
                </c:pt>
                <c:pt idx="4">
                  <c:v>234.29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4F1-4828-A588-15ECE683C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150352"/>
        <c:axId val="55315100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1809.52</c:v>
                </c:pt>
                <c:pt idx="1">
                  <c:v>2028.58</c:v>
                </c:pt>
                <c:pt idx="2">
                  <c:v>2039.39</c:v>
                </c:pt>
                <c:pt idx="3">
                  <c:v>1950.28</c:v>
                </c:pt>
                <c:pt idx="4">
                  <c:v>2925.39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4F1-4828-A588-15ECE683C6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7378032"/>
        <c:axId val="557381968"/>
      </c:lineChart>
      <c:catAx>
        <c:axId val="55315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151008"/>
        <c:crosses val="autoZero"/>
        <c:auto val="1"/>
        <c:lblAlgn val="ctr"/>
        <c:lblOffset val="100"/>
        <c:noMultiLvlLbl val="0"/>
      </c:catAx>
      <c:valAx>
        <c:axId val="553151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150352"/>
        <c:crosses val="autoZero"/>
        <c:crossBetween val="between"/>
      </c:valAx>
      <c:valAx>
        <c:axId val="557381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7378032"/>
        <c:crosses val="max"/>
        <c:crossBetween val="between"/>
      </c:valAx>
      <c:catAx>
        <c:axId val="557378032"/>
        <c:scaling>
          <c:orientation val="minMax"/>
        </c:scaling>
        <c:delete val="1"/>
        <c:axPos val="b"/>
        <c:majorTickMark val="out"/>
        <c:minorTickMark val="none"/>
        <c:tickLblPos val="nextTo"/>
        <c:crossAx val="5573819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90110.77</c:v>
                </c:pt>
                <c:pt idx="1">
                  <c:v>130693.29</c:v>
                </c:pt>
                <c:pt idx="2">
                  <c:v>121896.01</c:v>
                </c:pt>
                <c:pt idx="3">
                  <c:v>78778.039999999994</c:v>
                </c:pt>
                <c:pt idx="4">
                  <c:v>163541.19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33-4051-B7F4-D6A5EA347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802632"/>
        <c:axId val="555803616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33-4051-B7F4-D6A5EA347F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645136"/>
        <c:axId val="625646448"/>
      </c:lineChart>
      <c:catAx>
        <c:axId val="555802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5803616"/>
        <c:crosses val="autoZero"/>
        <c:auto val="1"/>
        <c:lblAlgn val="ctr"/>
        <c:lblOffset val="100"/>
        <c:noMultiLvlLbl val="0"/>
      </c:catAx>
      <c:valAx>
        <c:axId val="555803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802632"/>
        <c:crosses val="autoZero"/>
        <c:crossBetween val="between"/>
      </c:valAx>
      <c:valAx>
        <c:axId val="6256464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5645136"/>
        <c:crosses val="max"/>
        <c:crossBetween val="between"/>
      </c:valAx>
      <c:catAx>
        <c:axId val="625645136"/>
        <c:scaling>
          <c:orientation val="minMax"/>
        </c:scaling>
        <c:delete val="1"/>
        <c:axPos val="b"/>
        <c:majorTickMark val="out"/>
        <c:minorTickMark val="none"/>
        <c:tickLblPos val="nextTo"/>
        <c:crossAx val="62564644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278567.11</c:v>
                </c:pt>
                <c:pt idx="1">
                  <c:v>339639</c:v>
                </c:pt>
                <c:pt idx="2">
                  <c:v>328608.96999999997</c:v>
                </c:pt>
                <c:pt idx="3">
                  <c:v>303229.69</c:v>
                </c:pt>
                <c:pt idx="4">
                  <c:v>432569.62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F-4759-862A-2FF7C173BD4F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236698.62999999998</c:v>
                </c:pt>
                <c:pt idx="1">
                  <c:v>299022.98</c:v>
                </c:pt>
                <c:pt idx="2">
                  <c:v>285313.03999999998</c:v>
                </c:pt>
                <c:pt idx="3">
                  <c:v>231379.08000000002</c:v>
                </c:pt>
                <c:pt idx="4">
                  <c:v>349059.62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CF-4759-862A-2FF7C173BD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536848"/>
        <c:axId val="551535864"/>
      </c:barChart>
      <c:catAx>
        <c:axId val="55153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5864"/>
        <c:crosses val="autoZero"/>
        <c:auto val="1"/>
        <c:lblAlgn val="ctr"/>
        <c:lblOffset val="100"/>
        <c:noMultiLvlLbl val="0"/>
      </c:catAx>
      <c:valAx>
        <c:axId val="551535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68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120356.06</c:v>
                </c:pt>
                <c:pt idx="1">
                  <c:v>267241.61999999994</c:v>
                </c:pt>
                <c:pt idx="2">
                  <c:v>409270.13999999996</c:v>
                </c:pt>
                <c:pt idx="3">
                  <c:v>523175.9499999999</c:v>
                </c:pt>
                <c:pt idx="4">
                  <c:v>701404.39999999979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28-4CA2-9701-295C29806535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42519.71</c:v>
                </c:pt>
                <c:pt idx="1">
                  <c:v>49706.540000000008</c:v>
                </c:pt>
                <c:pt idx="2">
                  <c:v>62002.96</c:v>
                </c:pt>
                <c:pt idx="3">
                  <c:v>44907.509999999995</c:v>
                </c:pt>
                <c:pt idx="4">
                  <c:v>62308.4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28-4CA2-9701-295C29806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2838624"/>
        <c:axId val="622838952"/>
      </c:barChart>
      <c:catAx>
        <c:axId val="62283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8952"/>
        <c:crosses val="autoZero"/>
        <c:auto val="1"/>
        <c:lblAlgn val="ctr"/>
        <c:lblOffset val="100"/>
        <c:noMultiLvlLbl val="0"/>
      </c:catAx>
      <c:valAx>
        <c:axId val="622838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86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120356.06</c:v>
                </c:pt>
                <c:pt idx="1">
                  <c:v>267241.61999999994</c:v>
                </c:pt>
                <c:pt idx="2">
                  <c:v>409270.13999999996</c:v>
                </c:pt>
                <c:pt idx="3">
                  <c:v>523175.9499999999</c:v>
                </c:pt>
                <c:pt idx="4">
                  <c:v>701404.39999999979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E-437F-AA36-A777AE55A914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39312.69</c:v>
                </c:pt>
                <c:pt idx="1">
                  <c:v>46389.08</c:v>
                </c:pt>
                <c:pt idx="2">
                  <c:v>50271.93</c:v>
                </c:pt>
                <c:pt idx="3">
                  <c:v>62529.440000000002</c:v>
                </c:pt>
                <c:pt idx="4">
                  <c:v>73314.61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E-437F-AA36-A777AE55A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5243832"/>
        <c:axId val="635241864"/>
      </c:barChart>
      <c:catAx>
        <c:axId val="635243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5241864"/>
        <c:crosses val="autoZero"/>
        <c:auto val="1"/>
        <c:lblAlgn val="ctr"/>
        <c:lblOffset val="100"/>
        <c:noMultiLvlLbl val="0"/>
      </c:catAx>
      <c:valAx>
        <c:axId val="635241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52438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120356.06000000001</c:v>
                </c:pt>
                <c:pt idx="1">
                  <c:v>267241.61999999994</c:v>
                </c:pt>
                <c:pt idx="2">
                  <c:v>409270.1399999999</c:v>
                </c:pt>
                <c:pt idx="3">
                  <c:v>523175.94999999995</c:v>
                </c:pt>
                <c:pt idx="4">
                  <c:v>701404.39999999991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B2-496E-B9B2-076A14AD9E16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79138.610000000015</c:v>
                </c:pt>
                <c:pt idx="1">
                  <c:v>78096.87999999999</c:v>
                </c:pt>
                <c:pt idx="2">
                  <c:v>89653.729999999981</c:v>
                </c:pt>
                <c:pt idx="3">
                  <c:v>86679.39</c:v>
                </c:pt>
                <c:pt idx="4">
                  <c:v>104479.91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3B2-496E-B9B2-076A14AD9E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278920"/>
        <c:axId val="626284168"/>
      </c:barChart>
      <c:catAx>
        <c:axId val="626278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84168"/>
        <c:crosses val="autoZero"/>
        <c:auto val="1"/>
        <c:lblAlgn val="ctr"/>
        <c:lblOffset val="100"/>
        <c:noMultiLvlLbl val="0"/>
      </c:catAx>
      <c:valAx>
        <c:axId val="626284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89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120356.06000000001</c:v>
                </c:pt>
                <c:pt idx="1">
                  <c:v>267241.61999999994</c:v>
                </c:pt>
                <c:pt idx="2">
                  <c:v>409270.1399999999</c:v>
                </c:pt>
                <c:pt idx="3">
                  <c:v>523175.94999999995</c:v>
                </c:pt>
                <c:pt idx="4">
                  <c:v>701404.39999999991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11-400A-B926-BA3F508E9AE8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41217.449999999997</c:v>
                </c:pt>
                <c:pt idx="1">
                  <c:v>189144.73999999993</c:v>
                </c:pt>
                <c:pt idx="2">
                  <c:v>319616.40999999992</c:v>
                </c:pt>
                <c:pt idx="3">
                  <c:v>436496.55999999994</c:v>
                </c:pt>
                <c:pt idx="4">
                  <c:v>596924.48999999987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11-400A-B926-BA3F508E9A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382472"/>
        <c:axId val="554385424"/>
      </c:barChart>
      <c:catAx>
        <c:axId val="554382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5424"/>
        <c:crosses val="autoZero"/>
        <c:auto val="1"/>
        <c:lblAlgn val="ctr"/>
        <c:lblOffset val="100"/>
        <c:noMultiLvlLbl val="0"/>
      </c:catAx>
      <c:valAx>
        <c:axId val="554385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24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108613.2</c:v>
                </c:pt>
                <c:pt idx="1">
                  <c:v>152664.20000000001</c:v>
                </c:pt>
                <c:pt idx="2">
                  <c:v>145526.75999999998</c:v>
                </c:pt>
                <c:pt idx="3">
                  <c:v>100245.54000000001</c:v>
                </c:pt>
                <c:pt idx="4">
                  <c:v>187793.7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3FE-4359-BCC5-50779EB4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644024"/>
        <c:axId val="63164894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236698.62999999998</c:v>
                </c:pt>
                <c:pt idx="1">
                  <c:v>299022.98</c:v>
                </c:pt>
                <c:pt idx="2">
                  <c:v>285313.03999999998</c:v>
                </c:pt>
                <c:pt idx="3">
                  <c:v>231379.08000000002</c:v>
                </c:pt>
                <c:pt idx="4">
                  <c:v>349059.62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FE-4359-BCC5-50779EB44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650584"/>
        <c:axId val="631649272"/>
      </c:lineChart>
      <c:catAx>
        <c:axId val="631644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48944"/>
        <c:crosses val="autoZero"/>
        <c:auto val="1"/>
        <c:lblAlgn val="ctr"/>
        <c:lblOffset val="100"/>
        <c:noMultiLvlLbl val="0"/>
      </c:catAx>
      <c:valAx>
        <c:axId val="631648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1644024"/>
        <c:crosses val="autoZero"/>
        <c:crossBetween val="between"/>
      </c:valAx>
      <c:valAx>
        <c:axId val="6316492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31650584"/>
        <c:crosses val="max"/>
        <c:crossBetween val="between"/>
      </c:valAx>
      <c:catAx>
        <c:axId val="631650584"/>
        <c:scaling>
          <c:orientation val="minMax"/>
        </c:scaling>
        <c:delete val="1"/>
        <c:axPos val="b"/>
        <c:majorTickMark val="out"/>
        <c:minorTickMark val="none"/>
        <c:tickLblPos val="nextTo"/>
        <c:crossAx val="63164927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116100.70999999998</c:v>
                </c:pt>
                <c:pt idx="1">
                  <c:v>132457.38999999996</c:v>
                </c:pt>
                <c:pt idx="2">
                  <c:v>125862.94999999998</c:v>
                </c:pt>
                <c:pt idx="3">
                  <c:v>120674.06</c:v>
                </c:pt>
                <c:pt idx="4">
                  <c:v>150005.84999999995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64-4E9E-82F3-1C992713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9961624"/>
        <c:axId val="55996457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119633.07999999997</c:v>
                </c:pt>
                <c:pt idx="1">
                  <c:v>136799.53999999998</c:v>
                </c:pt>
                <c:pt idx="2">
                  <c:v>131773.03999999998</c:v>
                </c:pt>
                <c:pt idx="3">
                  <c:v>125229.48999999999</c:v>
                </c:pt>
                <c:pt idx="4">
                  <c:v>150005.84999999995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64-4E9E-82F3-1C9927136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49160"/>
        <c:axId val="559952768"/>
      </c:lineChart>
      <c:catAx>
        <c:axId val="559961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4576"/>
        <c:crosses val="autoZero"/>
        <c:auto val="1"/>
        <c:lblAlgn val="ctr"/>
        <c:lblOffset val="100"/>
        <c:noMultiLvlLbl val="0"/>
      </c:catAx>
      <c:valAx>
        <c:axId val="559964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1624"/>
        <c:crosses val="autoZero"/>
        <c:crossBetween val="between"/>
      </c:valAx>
      <c:valAx>
        <c:axId val="5599527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949160"/>
        <c:crosses val="max"/>
        <c:crossBetween val="between"/>
      </c:valAx>
      <c:catAx>
        <c:axId val="55994916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9527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279-493F-AB93-26BD2186A72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279-493F-AB93-26BD2186A72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279-493F-AB93-26BD2186A7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0.04</c:v>
                </c:pt>
                <c:pt idx="3">
                  <c:v>0.04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279-493F-AB93-26BD2186A7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2720"/>
        <c:axId val="622827800"/>
      </c:lineChart>
      <c:catAx>
        <c:axId val="62283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27800"/>
        <c:crosses val="autoZero"/>
        <c:auto val="0"/>
        <c:lblAlgn val="ctr"/>
        <c:lblOffset val="100"/>
        <c:noMultiLvlLbl val="0"/>
      </c:catAx>
      <c:valAx>
        <c:axId val="622827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28327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E6-4F2C-8CFC-F5CB53D8F6C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7E6-4F2C-8CFC-F5CB53D8F6C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7E6-4F2C-8CFC-F5CB53D8F6C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-0.1100000000000001</c:v>
                </c:pt>
                <c:pt idx="1">
                  <c:v>-4.0000000000000036E-2</c:v>
                </c:pt>
                <c:pt idx="2">
                  <c:v>0.41000000000000003</c:v>
                </c:pt>
                <c:pt idx="3">
                  <c:v>-1.98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7E6-4F2C-8CFC-F5CB53D8F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53647880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880"/>
        <c:crosses val="autoZero"/>
        <c:auto val="0"/>
        <c:lblAlgn val="ctr"/>
        <c:lblOffset val="100"/>
        <c:noMultiLvlLbl val="0"/>
      </c:catAx>
      <c:valAx>
        <c:axId val="553647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00-413B-9572-37E7A9B4D1A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00-413B-9572-37E7A9B4D1A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500-413B-9572-37E7A9B4D1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188456.34</c:v>
                </c:pt>
                <c:pt idx="1">
                  <c:v>208945.71</c:v>
                </c:pt>
                <c:pt idx="2">
                  <c:v>206712.95999999999</c:v>
                </c:pt>
                <c:pt idx="3">
                  <c:v>224451.65</c:v>
                </c:pt>
                <c:pt idx="4">
                  <c:v>269028.43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00-413B-9572-37E7A9B4D1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3216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216"/>
        <c:crosses val="autoZero"/>
        <c:auto val="0"/>
        <c:lblAlgn val="ctr"/>
        <c:lblOffset val="100"/>
        <c:noMultiLvlLbl val="0"/>
      </c:catAx>
      <c:valAx>
        <c:axId val="44943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346-42C5-853A-E0A7CED7E24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346-42C5-853A-E0A7CED7E24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346-42C5-853A-E0A7CED7E24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169953.91</c:v>
                </c:pt>
                <c:pt idx="1">
                  <c:v>186974.8</c:v>
                </c:pt>
                <c:pt idx="2">
                  <c:v>183082.21</c:v>
                </c:pt>
                <c:pt idx="3">
                  <c:v>202984.15</c:v>
                </c:pt>
                <c:pt idx="4">
                  <c:v>244775.92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346-42C5-853A-E0A7CED7E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2835016"/>
        <c:axId val="622836656"/>
      </c:lineChart>
      <c:catAx>
        <c:axId val="62283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2836656"/>
        <c:crosses val="autoZero"/>
        <c:auto val="0"/>
        <c:lblAlgn val="ctr"/>
        <c:lblOffset val="100"/>
        <c:noMultiLvlLbl val="0"/>
      </c:catAx>
      <c:valAx>
        <c:axId val="62283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2835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0.99</c:v>
                </c:pt>
                <c:pt idx="1">
                  <c:v>0.51</c:v>
                </c:pt>
                <c:pt idx="2">
                  <c:v>0.32</c:v>
                </c:pt>
                <c:pt idx="3">
                  <c:v>0.24</c:v>
                </c:pt>
                <c:pt idx="4">
                  <c:v>0.21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DA8-43AA-848E-9AF650BA4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5016"/>
        <c:axId val="449429280"/>
      </c:lineChart>
      <c:catAx>
        <c:axId val="449425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9280"/>
        <c:crosses val="autoZero"/>
        <c:auto val="0"/>
        <c:lblAlgn val="ctr"/>
        <c:lblOffset val="100"/>
        <c:noMultiLvlLbl val="0"/>
      </c:catAx>
      <c:valAx>
        <c:axId val="449429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5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C3B-406F-8C8C-75AE8861DB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1.47</c:v>
                </c:pt>
                <c:pt idx="1">
                  <c:v>1.44</c:v>
                </c:pt>
                <c:pt idx="2">
                  <c:v>1.0900000000000001</c:v>
                </c:pt>
                <c:pt idx="3">
                  <c:v>1.41</c:v>
                </c:pt>
                <c:pt idx="4">
                  <c:v>1.25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C3B-406F-8C8C-75AE8861DB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8336"/>
        <c:axId val="440769856"/>
      </c:lineChart>
      <c:catAx>
        <c:axId val="36404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0769856"/>
        <c:crosses val="autoZero"/>
        <c:auto val="0"/>
        <c:lblAlgn val="ctr"/>
        <c:lblOffset val="100"/>
        <c:noMultiLvlLbl val="0"/>
      </c:catAx>
      <c:valAx>
        <c:axId val="440769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83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1440E7-FF83-BF9B-ACBA-E6D73B70CB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3CFF546-89FB-8AB4-CDAE-AA517F7CEE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A34121-38CD-5F11-08A0-6C46C4DD62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116FF0-4AFA-DA5B-DD82-463C42D00B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6A6E69-59F9-2645-571F-78A8037FF5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ACA405-D921-4CC2-35A5-D515C0938E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36D76A-4BE2-0205-966C-50A592DB6D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C4ED14-B3A3-A4E3-9E14-80BCEE8344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E848CD-22A7-A9A4-FEA9-F02809787C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D2B0A3-547C-4445-B2CB-E503416D6F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C59562-E0E1-1D26-E3BE-DF92D79262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196716-E9D6-5D2F-A997-2B7FA31894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B8B2F2-D872-A6B1-A1C8-03F5E47A6C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6EE38B-868F-41C9-8466-E564D5B570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D30861-B316-37E9-90DD-04DFAA0330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9BC159-EC27-97BE-7BD6-72F398F25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42B917-A996-13EE-6946-E89085239C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3C612F-AB3F-984B-6CEE-2C2C59B687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52A5E6-5B1F-BABE-327C-1639E5371D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C1D6B3-F671-6E1C-1675-F8E59D4A31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5AD558B7-DA03-A6BC-8402-9800F87078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1CF9C234-3279-6B1C-01D0-EC8BE15425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591C052-411C-37A7-0125-5A1F41268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2B0F3161-264B-F50A-ECD9-436C01D6B2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D2770CB0-71A9-921C-0D9A-2858EE6A7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C437A62F-7615-269C-E969-264506F2E7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50BA188F-B8C2-FB05-4AC0-8E1C4D91D0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78D6798-82D1-F038-E1CD-392EE8093E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C454A2A9-BC6F-FA69-6642-182B51DDEC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E61779E2-CA0C-A466-B82B-6922DF07C7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8C31A97-A878-89EE-B702-663ABF93F2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8BEAB67-C625-C05F-5DB0-0F4AFEF424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A49A4018-E768-9901-D683-DA98C638A40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70D3E8D-5093-C490-C04E-3274B3CE66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83F29D-D4D4-086A-04E3-4D6758DC7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A4C955-345E-9CBA-14A1-C6103EBDEC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27DF2C5-06EC-CFFD-EA10-97E1DF7767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C77501-8F24-1A2B-17E8-BA6EA60A4C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BEEA03-AC07-FF41-7751-D070EF3F68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BFB49-4629-4CA4-8059-B33A24A5F5E6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1966.88</v>
      </c>
      <c r="D6" s="2">
        <v>1966.88</v>
      </c>
      <c r="E6" s="2">
        <v>1966.89</v>
      </c>
      <c r="F6" s="2">
        <v>2092.91</v>
      </c>
      <c r="G6" s="2">
        <v>2129.4499999999998</v>
      </c>
      <c r="H6" t="s">
        <v>1</v>
      </c>
    </row>
    <row r="7" spans="1:8" x14ac:dyDescent="0.25">
      <c r="B7" t="s">
        <v>6</v>
      </c>
      <c r="C7" s="2">
        <v>1966.88</v>
      </c>
      <c r="D7" s="2">
        <v>1966.88</v>
      </c>
      <c r="E7" s="2">
        <v>1966.89</v>
      </c>
      <c r="F7" s="2">
        <v>2092.91</v>
      </c>
      <c r="G7" s="2">
        <v>2129.4499999999998</v>
      </c>
      <c r="H7" t="s">
        <v>1</v>
      </c>
    </row>
    <row r="8" spans="1:8" x14ac:dyDescent="0.25">
      <c r="A8" t="s">
        <v>90</v>
      </c>
      <c r="B8" t="s">
        <v>7</v>
      </c>
      <c r="C8" s="2">
        <v>34651.69</v>
      </c>
      <c r="D8" s="2">
        <v>36797.839999999997</v>
      </c>
      <c r="E8" s="2">
        <v>34565.449999999997</v>
      </c>
      <c r="F8" s="2">
        <v>50605.68</v>
      </c>
      <c r="G8" s="2">
        <v>49776.17</v>
      </c>
      <c r="H8" t="s">
        <v>1</v>
      </c>
    </row>
    <row r="9" spans="1:8" x14ac:dyDescent="0.25">
      <c r="B9" t="s">
        <v>8</v>
      </c>
      <c r="C9" s="2">
        <v>34651.69</v>
      </c>
      <c r="D9" s="2">
        <v>36797.839999999997</v>
      </c>
      <c r="E9" s="2">
        <v>34565.449999999997</v>
      </c>
      <c r="F9" s="2">
        <v>50605.68</v>
      </c>
      <c r="G9" s="2">
        <v>49776.17</v>
      </c>
      <c r="H9" t="s">
        <v>1</v>
      </c>
    </row>
    <row r="10" spans="1:8" x14ac:dyDescent="0.25">
      <c r="B10" t="s">
        <v>9</v>
      </c>
      <c r="C10" s="2">
        <v>36618.57</v>
      </c>
      <c r="D10" s="2">
        <v>38764.720000000001</v>
      </c>
      <c r="E10" s="2">
        <v>36532.339999999997</v>
      </c>
      <c r="F10" s="2">
        <v>53555.08</v>
      </c>
      <c r="G10" s="2">
        <v>51905.62</v>
      </c>
      <c r="H10" t="s">
        <v>1</v>
      </c>
    </row>
    <row r="11" spans="1:8" x14ac:dyDescent="0.25">
      <c r="A11" t="s">
        <v>10</v>
      </c>
      <c r="B11" t="s">
        <v>10</v>
      </c>
      <c r="C11">
        <v>1905.09</v>
      </c>
      <c r="D11">
        <v>2070.04</v>
      </c>
      <c r="E11" s="2">
        <v>2056.33</v>
      </c>
      <c r="F11" s="2">
        <v>0</v>
      </c>
      <c r="G11" s="2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28904.28</v>
      </c>
      <c r="D13" s="2">
        <v>34315.58</v>
      </c>
      <c r="E13" s="2">
        <v>38043.89</v>
      </c>
      <c r="F13" s="2">
        <v>35740.22</v>
      </c>
      <c r="G13" s="2">
        <v>36358.93</v>
      </c>
      <c r="H13" t="s">
        <v>1</v>
      </c>
    </row>
    <row r="14" spans="1:8" x14ac:dyDescent="0.25">
      <c r="A14" t="s">
        <v>91</v>
      </c>
      <c r="B14" t="s">
        <v>13</v>
      </c>
      <c r="C14" s="2">
        <v>5522.4</v>
      </c>
      <c r="D14" s="2">
        <v>6792.01</v>
      </c>
      <c r="E14" s="2">
        <v>6163.92</v>
      </c>
      <c r="F14" s="2">
        <v>4934.4799999999996</v>
      </c>
      <c r="G14" s="2">
        <v>6375.72</v>
      </c>
      <c r="H14" t="s">
        <v>1</v>
      </c>
    </row>
    <row r="15" spans="1:8" x14ac:dyDescent="0.25">
      <c r="A15" t="s">
        <v>92</v>
      </c>
      <c r="B15" t="s">
        <v>14</v>
      </c>
      <c r="C15" s="2">
        <v>202.2</v>
      </c>
      <c r="D15" s="2">
        <v>340.68</v>
      </c>
      <c r="E15" s="2">
        <v>6249.59</v>
      </c>
      <c r="F15">
        <v>8222.98</v>
      </c>
      <c r="G15">
        <v>9585.6</v>
      </c>
      <c r="H15" t="s">
        <v>1</v>
      </c>
    </row>
    <row r="16" spans="1:8" x14ac:dyDescent="0.25">
      <c r="A16" t="s">
        <v>93</v>
      </c>
      <c r="B16" t="s">
        <v>15</v>
      </c>
      <c r="C16">
        <v>1393.36</v>
      </c>
      <c r="D16" s="2">
        <v>1537.63</v>
      </c>
      <c r="E16" s="2">
        <v>1595.99</v>
      </c>
      <c r="F16" s="2">
        <v>1608.89</v>
      </c>
      <c r="G16" s="2">
        <v>234.29</v>
      </c>
      <c r="H16" t="s">
        <v>1</v>
      </c>
    </row>
    <row r="17" spans="1:8" x14ac:dyDescent="0.25">
      <c r="B17" t="s">
        <v>16</v>
      </c>
      <c r="C17" s="2">
        <v>36022.239999999998</v>
      </c>
      <c r="D17" s="2">
        <v>42985.9</v>
      </c>
      <c r="E17" s="2">
        <v>52053.39</v>
      </c>
      <c r="F17" s="2">
        <v>50506.57</v>
      </c>
      <c r="G17" s="2">
        <v>52554.54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8093.03</v>
      </c>
      <c r="D19" s="2">
        <v>8598.9500000000007</v>
      </c>
      <c r="E19" s="2">
        <v>17795.150000000001</v>
      </c>
      <c r="F19" s="2">
        <v>4232.8100000000004</v>
      </c>
      <c r="G19" s="2">
        <v>19573.75</v>
      </c>
      <c r="H19" t="s">
        <v>1</v>
      </c>
    </row>
    <row r="20" spans="1:8" x14ac:dyDescent="0.25">
      <c r="A20" t="s">
        <v>92</v>
      </c>
      <c r="B20" t="s">
        <v>19</v>
      </c>
      <c r="C20" s="2">
        <v>15198.21</v>
      </c>
      <c r="D20" s="2">
        <v>17384.73</v>
      </c>
      <c r="E20" s="2">
        <v>13107.21</v>
      </c>
      <c r="F20" s="2">
        <v>16262.67</v>
      </c>
      <c r="G20" s="2">
        <v>30347.72</v>
      </c>
      <c r="H20" t="s">
        <v>1</v>
      </c>
    </row>
    <row r="21" spans="1:8" x14ac:dyDescent="0.25">
      <c r="A21" t="s">
        <v>92</v>
      </c>
      <c r="B21" t="s">
        <v>20</v>
      </c>
      <c r="C21" s="2">
        <v>20709.400000000001</v>
      </c>
      <c r="D21" s="2">
        <v>25097.46</v>
      </c>
      <c r="E21" s="2">
        <v>27279.75</v>
      </c>
      <c r="F21" s="2">
        <v>34484.620000000003</v>
      </c>
      <c r="G21" s="2">
        <v>30221.61</v>
      </c>
      <c r="H21" t="s">
        <v>1</v>
      </c>
    </row>
    <row r="22" spans="1:8" x14ac:dyDescent="0.25">
      <c r="A22" t="s">
        <v>93</v>
      </c>
      <c r="B22" t="s">
        <v>21</v>
      </c>
      <c r="C22" s="2">
        <v>1809.52</v>
      </c>
      <c r="D22" s="2">
        <v>2028.58</v>
      </c>
      <c r="E22" s="2">
        <v>2039.39</v>
      </c>
      <c r="F22" s="2">
        <v>1950.28</v>
      </c>
      <c r="G22" s="2">
        <v>2925.39</v>
      </c>
      <c r="H22" t="s">
        <v>1</v>
      </c>
    </row>
    <row r="23" spans="1:8" x14ac:dyDescent="0.25">
      <c r="B23" t="s">
        <v>22</v>
      </c>
      <c r="C23" s="2">
        <v>45810.16</v>
      </c>
      <c r="D23" s="2">
        <v>53109.72</v>
      </c>
      <c r="E23" s="2">
        <v>60221.5</v>
      </c>
      <c r="F23" s="2">
        <v>56930.38</v>
      </c>
      <c r="G23" s="2">
        <v>83068.47</v>
      </c>
      <c r="H23" t="s">
        <v>1</v>
      </c>
    </row>
    <row r="24" spans="1:8" x14ac:dyDescent="0.25">
      <c r="B24" t="s">
        <v>23</v>
      </c>
      <c r="C24" s="2">
        <v>120356.06</v>
      </c>
      <c r="D24" s="2">
        <v>136930.38</v>
      </c>
      <c r="E24" s="2">
        <v>150863.56</v>
      </c>
      <c r="F24" s="2">
        <v>160992.03</v>
      </c>
      <c r="G24" s="2">
        <v>187528.63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45260.94</v>
      </c>
      <c r="D27" s="2">
        <v>48971.28</v>
      </c>
      <c r="E27" s="2">
        <v>59793.97</v>
      </c>
      <c r="F27" s="2">
        <v>63588.89</v>
      </c>
      <c r="G27" s="2">
        <v>98130.43</v>
      </c>
      <c r="H27" t="s">
        <v>1</v>
      </c>
    </row>
    <row r="28" spans="1:8" x14ac:dyDescent="0.25">
      <c r="A28" t="s">
        <v>29</v>
      </c>
      <c r="B28" t="s">
        <v>27</v>
      </c>
      <c r="C28">
        <v>278.36</v>
      </c>
      <c r="D28">
        <v>343.56</v>
      </c>
      <c r="E28">
        <v>380.6</v>
      </c>
      <c r="F28">
        <v>509.42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4486.47</v>
      </c>
      <c r="D29" s="2">
        <v>7292.9</v>
      </c>
      <c r="E29" s="2">
        <v>9948.51</v>
      </c>
      <c r="F29" s="2">
        <v>7645.42</v>
      </c>
      <c r="G29" s="2">
        <v>0</v>
      </c>
      <c r="H29" t="s">
        <v>1</v>
      </c>
    </row>
    <row r="30" spans="1:8" x14ac:dyDescent="0.25">
      <c r="B30" t="s">
        <v>29</v>
      </c>
      <c r="C30" s="2">
        <v>55414.04</v>
      </c>
      <c r="D30" s="2">
        <v>62969.33</v>
      </c>
      <c r="E30" s="2">
        <v>77931.31</v>
      </c>
      <c r="F30" s="2">
        <v>81238.38</v>
      </c>
      <c r="G30" s="2">
        <v>98130.43</v>
      </c>
      <c r="H30" t="s">
        <v>1</v>
      </c>
    </row>
    <row r="31" spans="1:8" x14ac:dyDescent="0.25">
      <c r="A31" t="s">
        <v>94</v>
      </c>
      <c r="B31" t="s">
        <v>30</v>
      </c>
      <c r="C31" s="2">
        <v>18275.29</v>
      </c>
      <c r="D31" s="2">
        <v>19107.82</v>
      </c>
      <c r="E31" s="2">
        <v>21819.97</v>
      </c>
      <c r="F31" s="2">
        <v>19973.46</v>
      </c>
      <c r="G31" s="2">
        <v>19173.63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4.2699999999999996</v>
      </c>
      <c r="E32">
        <v>3.58</v>
      </c>
      <c r="F32">
        <v>3.53</v>
      </c>
      <c r="G32">
        <v>0</v>
      </c>
      <c r="H32" t="s">
        <v>1</v>
      </c>
    </row>
    <row r="33" spans="1:8" x14ac:dyDescent="0.25">
      <c r="A33" t="s">
        <v>95</v>
      </c>
      <c r="B33" t="s">
        <v>32</v>
      </c>
      <c r="C33" s="2">
        <v>4074.42</v>
      </c>
      <c r="D33" s="2">
        <v>3829.26</v>
      </c>
      <c r="E33" s="2">
        <v>4987.2700000000004</v>
      </c>
      <c r="F33" s="2">
        <v>5312</v>
      </c>
      <c r="G33" s="2">
        <v>3956.62</v>
      </c>
      <c r="H33" t="s">
        <v>1</v>
      </c>
    </row>
    <row r="34" spans="1:8" x14ac:dyDescent="0.25">
      <c r="A34" t="s">
        <v>95</v>
      </c>
      <c r="B34" t="s">
        <v>33</v>
      </c>
      <c r="C34" s="2">
        <v>1990.8</v>
      </c>
      <c r="D34" s="2">
        <v>2238.11</v>
      </c>
      <c r="E34" s="2">
        <v>2869.68</v>
      </c>
      <c r="F34" s="2">
        <v>2482.17</v>
      </c>
      <c r="G34" s="2">
        <v>3064.61</v>
      </c>
      <c r="H34" t="s">
        <v>1</v>
      </c>
    </row>
    <row r="35" spans="1:8" x14ac:dyDescent="0.25">
      <c r="B35" t="s">
        <v>34</v>
      </c>
      <c r="C35" s="2">
        <v>79754.55</v>
      </c>
      <c r="D35" s="2">
        <v>88148.79</v>
      </c>
      <c r="E35" s="2">
        <v>107611.81</v>
      </c>
      <c r="F35" s="2">
        <v>109009.54</v>
      </c>
      <c r="G35" s="2">
        <v>125529.27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5449.28</v>
      </c>
      <c r="D37" s="2">
        <v>5799.09</v>
      </c>
      <c r="E37" s="2">
        <v>5208.54</v>
      </c>
      <c r="F37" s="2">
        <v>6794.27</v>
      </c>
      <c r="G37" s="2">
        <v>4442.2700000000004</v>
      </c>
      <c r="H37" t="s">
        <v>1</v>
      </c>
    </row>
    <row r="38" spans="1:8" x14ac:dyDescent="0.25">
      <c r="A38" t="s">
        <v>96</v>
      </c>
      <c r="B38" t="s">
        <v>37</v>
      </c>
      <c r="C38" s="2">
        <v>22530.94</v>
      </c>
      <c r="D38" s="2">
        <v>22934.87</v>
      </c>
      <c r="E38" s="2">
        <v>22242.6</v>
      </c>
      <c r="F38" s="2">
        <v>26706.02</v>
      </c>
      <c r="G38" s="2">
        <v>42178.74</v>
      </c>
      <c r="H38" t="s">
        <v>1</v>
      </c>
    </row>
    <row r="39" spans="1:8" x14ac:dyDescent="0.25">
      <c r="A39" t="s">
        <v>96</v>
      </c>
      <c r="B39" t="s">
        <v>38</v>
      </c>
      <c r="C39" s="2">
        <v>5209.28</v>
      </c>
      <c r="D39" s="2">
        <v>6906.25</v>
      </c>
      <c r="E39" s="2">
        <v>5378.02</v>
      </c>
      <c r="F39" s="2">
        <v>7834.77</v>
      </c>
      <c r="G39" s="2">
        <v>9707.4699999999993</v>
      </c>
      <c r="H39" t="s">
        <v>1</v>
      </c>
    </row>
    <row r="40" spans="1:8" x14ac:dyDescent="0.25">
      <c r="A40" t="s">
        <v>96</v>
      </c>
      <c r="B40" t="s">
        <v>39</v>
      </c>
      <c r="C40" s="2">
        <v>1353.86</v>
      </c>
      <c r="D40" s="2">
        <v>662.52</v>
      </c>
      <c r="E40" s="2">
        <v>1164.8399999999999</v>
      </c>
      <c r="F40">
        <v>8110.11</v>
      </c>
      <c r="G40" s="2">
        <v>2236.69</v>
      </c>
      <c r="H40" t="s">
        <v>1</v>
      </c>
    </row>
    <row r="41" spans="1:8" x14ac:dyDescent="0.25">
      <c r="A41" t="s">
        <v>95</v>
      </c>
      <c r="B41" t="s">
        <v>40</v>
      </c>
      <c r="C41">
        <v>270.42</v>
      </c>
      <c r="D41">
        <v>1684.67</v>
      </c>
      <c r="E41">
        <v>704.86</v>
      </c>
      <c r="F41" s="2">
        <v>138.06</v>
      </c>
      <c r="G41">
        <v>136</v>
      </c>
      <c r="H41" t="s">
        <v>1</v>
      </c>
    </row>
    <row r="42" spans="1:8" x14ac:dyDescent="0.25">
      <c r="A42" t="s">
        <v>95</v>
      </c>
      <c r="B42" t="s">
        <v>41</v>
      </c>
      <c r="C42" s="2">
        <v>5787.73</v>
      </c>
      <c r="D42" s="2">
        <v>10794.19</v>
      </c>
      <c r="E42" s="2">
        <v>8552.89</v>
      </c>
      <c r="F42" s="2">
        <v>2399.2600000000002</v>
      </c>
      <c r="G42" s="2">
        <v>3298.19</v>
      </c>
      <c r="H42" t="s">
        <v>1</v>
      </c>
    </row>
    <row r="43" spans="1:8" x14ac:dyDescent="0.25">
      <c r="B43" t="s">
        <v>42</v>
      </c>
      <c r="C43" s="2">
        <v>40601.51</v>
      </c>
      <c r="D43" s="2">
        <v>48781.59</v>
      </c>
      <c r="E43" s="2">
        <v>43251.75</v>
      </c>
      <c r="F43" s="2">
        <v>51982.49</v>
      </c>
      <c r="G43" s="2">
        <v>61999.360000000001</v>
      </c>
      <c r="H43" t="s">
        <v>1</v>
      </c>
    </row>
    <row r="44" spans="1:8" x14ac:dyDescent="0.25">
      <c r="B44" t="s">
        <v>43</v>
      </c>
      <c r="C44" s="2">
        <v>120356.06</v>
      </c>
      <c r="D44" s="2">
        <v>136930.38</v>
      </c>
      <c r="E44" s="2">
        <v>150863.56</v>
      </c>
      <c r="F44" s="2">
        <v>160992.03</v>
      </c>
      <c r="G44" s="2">
        <v>187528.63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19878.68</v>
      </c>
      <c r="D47" s="2">
        <v>22413.200000000001</v>
      </c>
      <c r="E47" s="2">
        <v>15222.59</v>
      </c>
      <c r="F47" s="2">
        <v>12919.6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1882.32</v>
      </c>
      <c r="D49" s="2">
        <v>1882.32</v>
      </c>
      <c r="E49" s="2">
        <v>1882.32</v>
      </c>
      <c r="F49" s="2">
        <v>1882.32</v>
      </c>
      <c r="G49" s="2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575.94000000000005</v>
      </c>
      <c r="D51">
        <v>908.47</v>
      </c>
      <c r="E51">
        <v>221.23</v>
      </c>
      <c r="F51">
        <v>328.1</v>
      </c>
      <c r="G51">
        <v>0</v>
      </c>
      <c r="H51" t="s">
        <v>1</v>
      </c>
    </row>
    <row r="52" spans="2:8" x14ac:dyDescent="0.25">
      <c r="B52" t="s">
        <v>51</v>
      </c>
      <c r="C52">
        <v>105.27</v>
      </c>
      <c r="D52">
        <v>114.31</v>
      </c>
      <c r="E52">
        <v>66.63</v>
      </c>
      <c r="F52">
        <v>95.72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5446.98</v>
      </c>
      <c r="D54" s="2">
        <v>5800.05</v>
      </c>
      <c r="E54" s="2">
        <v>5208.54</v>
      </c>
      <c r="F54" s="2">
        <v>6794.27</v>
      </c>
      <c r="G54" s="2">
        <v>0</v>
      </c>
      <c r="H54" t="s">
        <v>1</v>
      </c>
    </row>
    <row r="55" spans="2:8" x14ac:dyDescent="0.25">
      <c r="B55" t="s">
        <v>54</v>
      </c>
      <c r="C55">
        <v>2.2999999999999998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96B9F-9BD6-4E92-A525-24153FF975D3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2884.76</v>
      </c>
      <c r="D6" s="16">
        <f>'Income Statement'!D28</f>
        <v>3540.39</v>
      </c>
      <c r="E6" s="16">
        <f>'Income Statement'!E28</f>
        <v>4818.8599999999997</v>
      </c>
      <c r="F6" s="16">
        <f>'Income Statement'!F28</f>
        <v>4555.43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</row>
    <row r="8" spans="2:7" ht="18.75" x14ac:dyDescent="0.25">
      <c r="B8" s="15" t="s">
        <v>148</v>
      </c>
      <c r="C8" s="16">
        <f>ROUND(C6/C7, 2)</f>
        <v>1.1100000000000001</v>
      </c>
      <c r="D8" s="16">
        <f t="shared" ref="D8:G8" si="0">ROUND(D6/D7, 2)</f>
        <v>1.04</v>
      </c>
      <c r="E8" s="16">
        <f t="shared" si="0"/>
        <v>0.59</v>
      </c>
      <c r="F8" s="16">
        <f t="shared" si="0"/>
        <v>2.98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119633.07999999997</v>
      </c>
      <c r="D9" s="16">
        <f>'Income Statement'!D27</f>
        <v>136799.53999999998</v>
      </c>
      <c r="E9" s="16">
        <f>'Income Statement'!E27</f>
        <v>131773.03999999998</v>
      </c>
      <c r="F9" s="16">
        <f>'Income Statement'!F27</f>
        <v>125229.48999999999</v>
      </c>
      <c r="G9" s="16">
        <f>'Income Statement'!G27</f>
        <v>150005.84999999995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2600.7191304347821</v>
      </c>
      <c r="D10" s="16">
        <f>'Income Statement'!D35</f>
        <v>3419.9884999999995</v>
      </c>
      <c r="E10" s="16">
        <f>'Income Statement'!E35</f>
        <v>8235.8149999999987</v>
      </c>
      <c r="F10" s="16">
        <f>'Income Statement'!F35</f>
        <v>1527.1889024390243</v>
      </c>
      <c r="G10" s="16">
        <f>'Income Statement'!G35</f>
        <v>2727.3790909090899</v>
      </c>
    </row>
    <row r="11" spans="2:7" ht="18.75" x14ac:dyDescent="0.25">
      <c r="B11" s="15" t="s">
        <v>146</v>
      </c>
      <c r="C11" s="16">
        <f>C9/C10</f>
        <v>46</v>
      </c>
      <c r="D11" s="16">
        <f t="shared" ref="D11:G11" si="1">D9/D10</f>
        <v>40</v>
      </c>
      <c r="E11" s="16">
        <f t="shared" si="1"/>
        <v>16</v>
      </c>
      <c r="F11" s="16">
        <f t="shared" si="1"/>
        <v>82</v>
      </c>
      <c r="G11" s="16">
        <f t="shared" si="1"/>
        <v>55</v>
      </c>
    </row>
    <row r="12" spans="2:7" ht="18.75" x14ac:dyDescent="0.25">
      <c r="B12" s="17" t="s">
        <v>152</v>
      </c>
      <c r="C12" s="17">
        <f>ROUND(C8/C11, 2)</f>
        <v>0.02</v>
      </c>
      <c r="D12" s="17">
        <f t="shared" ref="D12:G12" si="2">ROUND(D8/D11, 2)</f>
        <v>0.03</v>
      </c>
      <c r="E12" s="17">
        <f t="shared" si="2"/>
        <v>0.04</v>
      </c>
      <c r="F12" s="17">
        <f t="shared" si="2"/>
        <v>0.04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12026-BF45-419B-B16F-D778A2D80942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1.85546875" bestFit="1" customWidth="1"/>
    <col min="4" max="5" width="11.5703125" bestFit="1" customWidth="1"/>
    <col min="6" max="6" width="13.57031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2884.76</v>
      </c>
      <c r="D6" s="16">
        <f>'Income Statement'!D28</f>
        <v>3540.39</v>
      </c>
      <c r="E6" s="16">
        <f>'Income Statement'!E28</f>
        <v>4818.8599999999997</v>
      </c>
      <c r="F6" s="16">
        <f>'Income Statement'!F28</f>
        <v>4555.43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</row>
    <row r="8" spans="2:7" ht="18.75" x14ac:dyDescent="0.25">
      <c r="B8" s="15" t="s">
        <v>154</v>
      </c>
      <c r="C8" s="16">
        <f>ROUND(C6/C7, 2)</f>
        <v>1.1100000000000001</v>
      </c>
      <c r="D8" s="16">
        <f t="shared" ref="D8:G8" si="0">ROUND(D6/D7, 2)</f>
        <v>1.04</v>
      </c>
      <c r="E8" s="16">
        <f t="shared" si="0"/>
        <v>0.59</v>
      </c>
      <c r="F8" s="16">
        <f t="shared" si="0"/>
        <v>2.98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-0.1100000000000001</v>
      </c>
      <c r="D9" s="27">
        <f t="shared" ref="D9:G9" si="1">1-D8</f>
        <v>-4.0000000000000036E-2</v>
      </c>
      <c r="E9" s="27">
        <f t="shared" si="1"/>
        <v>0.41000000000000003</v>
      </c>
      <c r="F9" s="27">
        <f t="shared" si="1"/>
        <v>-1.98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257C-77F0-40A5-B5E1-BF514375881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90110.77</v>
      </c>
      <c r="D7" s="16">
        <f>'Income Statement'!D11</f>
        <v>130693.29</v>
      </c>
      <c r="E7" s="16">
        <f>'Income Statement'!E11</f>
        <v>121896.01</v>
      </c>
      <c r="F7" s="16">
        <f>'Income Statement'!F11</f>
        <v>78778.039999999994</v>
      </c>
      <c r="G7" s="16">
        <f>'Income Statement'!G11</f>
        <v>163541.19</v>
      </c>
    </row>
    <row r="8" spans="2:7" ht="18.75" x14ac:dyDescent="0.25">
      <c r="B8" s="17" t="s">
        <v>157</v>
      </c>
      <c r="C8" s="28">
        <f>ROUND(C6- C7, 2)</f>
        <v>188456.34</v>
      </c>
      <c r="D8" s="28">
        <f t="shared" ref="D8:G8" si="0">ROUND(D6- D7, 2)</f>
        <v>208945.71</v>
      </c>
      <c r="E8" s="28">
        <f t="shared" si="0"/>
        <v>206712.95999999999</v>
      </c>
      <c r="F8" s="28">
        <f t="shared" si="0"/>
        <v>224451.65</v>
      </c>
      <c r="G8" s="28">
        <f t="shared" si="0"/>
        <v>269028.43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309E6-D6E9-4701-AC3E-EC796CC9EC4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'Income Statement'!B15</f>
        <v>Total Expenditure</v>
      </c>
      <c r="C7" s="16">
        <f>'Income Statement'!C15</f>
        <v>108613.2</v>
      </c>
      <c r="D7" s="16">
        <f>'Income Statement'!D15</f>
        <v>152664.20000000001</v>
      </c>
      <c r="E7" s="16">
        <f>'Income Statement'!E15</f>
        <v>145526.75999999998</v>
      </c>
      <c r="F7" s="16">
        <f>'Income Statement'!F15</f>
        <v>100245.54000000001</v>
      </c>
      <c r="G7" s="16">
        <f>'Income Statement'!G15</f>
        <v>187793.7</v>
      </c>
    </row>
    <row r="8" spans="2:7" ht="18.75" x14ac:dyDescent="0.25">
      <c r="B8" s="17" t="s">
        <v>159</v>
      </c>
      <c r="C8" s="28">
        <f>ROUND(C6- C7, 2)</f>
        <v>169953.91</v>
      </c>
      <c r="D8" s="28">
        <f t="shared" ref="D8:G8" si="0">ROUND(D6- D7, 2)</f>
        <v>186974.8</v>
      </c>
      <c r="E8" s="28">
        <f t="shared" si="0"/>
        <v>183082.21</v>
      </c>
      <c r="F8" s="28">
        <f t="shared" si="0"/>
        <v>202984.15</v>
      </c>
      <c r="G8" s="28">
        <f t="shared" si="0"/>
        <v>244775.92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C3711-6D72-431C-84FA-BDD70EBCF72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119633.07999999997</v>
      </c>
      <c r="D6" s="16">
        <f>'Income Statement'!D27</f>
        <v>136799.53999999998</v>
      </c>
      <c r="E6" s="16">
        <f>'Income Statement'!E27</f>
        <v>131773.03999999998</v>
      </c>
      <c r="F6" s="16">
        <f>'Income Statement'!F27</f>
        <v>125229.48999999999</v>
      </c>
      <c r="G6" s="16">
        <f>'Income Statement'!G27</f>
        <v>150005.84999999995</v>
      </c>
    </row>
    <row r="7" spans="2:7" ht="18.75" x14ac:dyDescent="0.25">
      <c r="B7" s="15" t="str">
        <f>'Balance Sheet'!B40</f>
        <v>Total Assets</v>
      </c>
      <c r="C7" s="16">
        <f>'Balance Sheet'!C40</f>
        <v>120356.06000000001</v>
      </c>
      <c r="D7" s="16">
        <f>'Balance Sheet'!D40</f>
        <v>267241.61999999994</v>
      </c>
      <c r="E7" s="16">
        <f>'Balance Sheet'!E40</f>
        <v>409270.1399999999</v>
      </c>
      <c r="F7" s="16">
        <f>'Balance Sheet'!F40</f>
        <v>523175.94999999995</v>
      </c>
      <c r="G7" s="16">
        <f>'Balance Sheet'!G40</f>
        <v>701404.39999999991</v>
      </c>
    </row>
    <row r="8" spans="2:7" ht="18.75" x14ac:dyDescent="0.25">
      <c r="B8" s="17" t="s">
        <v>161</v>
      </c>
      <c r="C8" s="27">
        <f>ROUND(C6/ C7, 2)</f>
        <v>0.99</v>
      </c>
      <c r="D8" s="27">
        <f t="shared" ref="D8:G8" si="0">ROUND(D6/ D7, 2)</f>
        <v>0.51</v>
      </c>
      <c r="E8" s="27">
        <f t="shared" si="0"/>
        <v>0.32</v>
      </c>
      <c r="F8" s="27">
        <f t="shared" si="0"/>
        <v>0.24</v>
      </c>
      <c r="G8" s="27">
        <f t="shared" si="0"/>
        <v>0.21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7866F-4093-4294-8423-7A9D0E2F1443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125200.42999999998</v>
      </c>
      <c r="D6" s="16">
        <f>'Income Statement'!D19</f>
        <v>142941.00999999998</v>
      </c>
      <c r="E6" s="16">
        <f>'Income Statement'!E19</f>
        <v>135706.19</v>
      </c>
      <c r="F6" s="16">
        <f>'Income Statement'!F19</f>
        <v>126799.33</v>
      </c>
      <c r="G6" s="16">
        <f>'Income Statement'!G19</f>
        <v>155831.56999999998</v>
      </c>
    </row>
    <row r="7" spans="2:7" ht="18.75" x14ac:dyDescent="0.25">
      <c r="B7" s="15" t="str">
        <f>'Balance Sheet'!B13</f>
        <v>Total Debt</v>
      </c>
      <c r="C7" s="16">
        <f>'Balance Sheet'!C13</f>
        <v>42519.71</v>
      </c>
      <c r="D7" s="16">
        <f>'Balance Sheet'!D13</f>
        <v>49706.540000000008</v>
      </c>
      <c r="E7" s="16">
        <f>'Balance Sheet'!E13</f>
        <v>62002.96</v>
      </c>
      <c r="F7" s="16">
        <f>'Balance Sheet'!F13</f>
        <v>44907.509999999995</v>
      </c>
      <c r="G7" s="16">
        <f>'Balance Sheet'!G13</f>
        <v>62308.4</v>
      </c>
    </row>
    <row r="8" spans="2:7" ht="18.75" x14ac:dyDescent="0.25">
      <c r="B8" s="15" t="str">
        <f>'Balance Sheet'!B9</f>
        <v>Net Worth</v>
      </c>
      <c r="C8" s="16">
        <f>'Balance Sheet'!C9</f>
        <v>36618.57</v>
      </c>
      <c r="D8" s="16">
        <f>'Balance Sheet'!D9</f>
        <v>169075.95999999996</v>
      </c>
      <c r="E8" s="16">
        <f>'Balance Sheet'!E9</f>
        <v>294938.91999999993</v>
      </c>
      <c r="F8" s="16">
        <f>'Balance Sheet'!F9</f>
        <v>415738.99999999988</v>
      </c>
      <c r="G8" s="16">
        <f>'Balance Sheet'!G9</f>
        <v>565781.38999999978</v>
      </c>
    </row>
    <row r="9" spans="2:7" ht="18.75" x14ac:dyDescent="0.25">
      <c r="B9" s="17" t="s">
        <v>163</v>
      </c>
      <c r="C9" s="27">
        <f>ROUND(C6/ (C7+ C7), 2)</f>
        <v>1.47</v>
      </c>
      <c r="D9" s="27">
        <f t="shared" ref="D9:G9" si="0">ROUND(D6/ (D7+ D7), 2)</f>
        <v>1.44</v>
      </c>
      <c r="E9" s="27">
        <f t="shared" si="0"/>
        <v>1.0900000000000001</v>
      </c>
      <c r="F9" s="27">
        <f t="shared" si="0"/>
        <v>1.41</v>
      </c>
      <c r="G9" s="27">
        <f t="shared" si="0"/>
        <v>1.25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37980-558C-4BBD-AEEB-9805E2CA847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119633.07999999997</v>
      </c>
      <c r="D6" s="16">
        <f>'Income Statement'!D27</f>
        <v>136799.53999999998</v>
      </c>
      <c r="E6" s="16">
        <f>'Income Statement'!E27</f>
        <v>131773.03999999998</v>
      </c>
      <c r="F6" s="16">
        <f>'Income Statement'!F27</f>
        <v>125229.48999999999</v>
      </c>
      <c r="G6" s="16">
        <f>'Income Statement'!G27</f>
        <v>150005.84999999995</v>
      </c>
    </row>
    <row r="7" spans="2:7" ht="18.75" x14ac:dyDescent="0.25">
      <c r="B7" s="15" t="str">
        <f>'Balance Sheet'!B9</f>
        <v>Net Worth</v>
      </c>
      <c r="C7" s="16">
        <f>'Balance Sheet'!C9</f>
        <v>36618.57</v>
      </c>
      <c r="D7" s="16">
        <f>'Balance Sheet'!D9</f>
        <v>169075.95999999996</v>
      </c>
      <c r="E7" s="16">
        <f>'Balance Sheet'!E9</f>
        <v>294938.91999999993</v>
      </c>
      <c r="F7" s="16">
        <f>'Balance Sheet'!F9</f>
        <v>415738.99999999988</v>
      </c>
      <c r="G7" s="16">
        <f>'Balance Sheet'!G9</f>
        <v>565781.38999999978</v>
      </c>
    </row>
    <row r="8" spans="2:7" ht="18.75" x14ac:dyDescent="0.25">
      <c r="B8" s="17" t="s">
        <v>165</v>
      </c>
      <c r="C8" s="27">
        <f>ROUND(C6/ (C7+ C7), 2)</f>
        <v>1.63</v>
      </c>
      <c r="D8" s="27">
        <f t="shared" ref="D8:G8" si="0">ROUND(D6/ (D7+ D7), 2)</f>
        <v>0.4</v>
      </c>
      <c r="E8" s="27">
        <f t="shared" si="0"/>
        <v>0.22</v>
      </c>
      <c r="F8" s="27">
        <f t="shared" si="0"/>
        <v>0.15</v>
      </c>
      <c r="G8" s="27">
        <f t="shared" si="0"/>
        <v>0.13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5A6600-5F5E-4107-BA80-6321180F1AA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42519.71</v>
      </c>
      <c r="D6" s="16">
        <f>'Balance Sheet'!D13</f>
        <v>49706.540000000008</v>
      </c>
      <c r="E6" s="16">
        <f>'Balance Sheet'!E13</f>
        <v>62002.96</v>
      </c>
      <c r="F6" s="16">
        <f>'Balance Sheet'!F13</f>
        <v>44907.509999999995</v>
      </c>
      <c r="G6" s="16">
        <f>'Balance Sheet'!G13</f>
        <v>62308.4</v>
      </c>
    </row>
    <row r="7" spans="2:7" ht="18.75" x14ac:dyDescent="0.25">
      <c r="B7" s="15" t="str">
        <f>'Balance Sheet'!B9</f>
        <v>Net Worth</v>
      </c>
      <c r="C7" s="16">
        <f>'Balance Sheet'!C9</f>
        <v>36618.57</v>
      </c>
      <c r="D7" s="16">
        <f>'Balance Sheet'!D9</f>
        <v>169075.95999999996</v>
      </c>
      <c r="E7" s="16">
        <f>'Balance Sheet'!E9</f>
        <v>294938.91999999993</v>
      </c>
      <c r="F7" s="16">
        <f>'Balance Sheet'!F9</f>
        <v>415738.99999999988</v>
      </c>
      <c r="G7" s="16">
        <f>'Balance Sheet'!G9</f>
        <v>565781.38999999978</v>
      </c>
    </row>
    <row r="8" spans="2:7" ht="18.75" x14ac:dyDescent="0.25">
      <c r="B8" s="17" t="s">
        <v>167</v>
      </c>
      <c r="C8" s="17">
        <f>ROUND(C6/ C7, 2)</f>
        <v>1.1599999999999999</v>
      </c>
      <c r="D8" s="17">
        <f t="shared" ref="D8:G8" si="0">ROUND(D6/ D7, 2)</f>
        <v>0.28999999999999998</v>
      </c>
      <c r="E8" s="17">
        <f t="shared" si="0"/>
        <v>0.21</v>
      </c>
      <c r="F8" s="17">
        <f t="shared" si="0"/>
        <v>0.11</v>
      </c>
      <c r="G8" s="1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C96DB-2265-43AC-BCA6-8372C98DDABA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41217.449999999997</v>
      </c>
      <c r="D6" s="16">
        <f>'Balance Sheet'!D39</f>
        <v>189144.73999999993</v>
      </c>
      <c r="E6" s="16">
        <f>'Balance Sheet'!E39</f>
        <v>319616.40999999992</v>
      </c>
      <c r="F6" s="16">
        <f>'Balance Sheet'!F39</f>
        <v>436496.55999999994</v>
      </c>
      <c r="G6" s="16">
        <f>'Balance Sheet'!G39</f>
        <v>596924.48999999987</v>
      </c>
    </row>
    <row r="7" spans="2:7" ht="18.75" x14ac:dyDescent="0.25">
      <c r="B7" s="15" t="str">
        <f>'Balance Sheet'!B19</f>
        <v>Total Current Liabilities</v>
      </c>
      <c r="C7" s="16">
        <f>'Balance Sheet'!C19</f>
        <v>39312.69</v>
      </c>
      <c r="D7" s="16">
        <f>'Balance Sheet'!D19</f>
        <v>46389.08</v>
      </c>
      <c r="E7" s="16">
        <f>'Balance Sheet'!E19</f>
        <v>50271.93</v>
      </c>
      <c r="F7" s="16">
        <f>'Balance Sheet'!F19</f>
        <v>62529.440000000002</v>
      </c>
      <c r="G7" s="16">
        <f>'Balance Sheet'!G19</f>
        <v>73314.61</v>
      </c>
    </row>
    <row r="8" spans="2:7" ht="18.75" x14ac:dyDescent="0.25">
      <c r="B8" s="17" t="s">
        <v>169</v>
      </c>
      <c r="C8" s="17">
        <f>ROUND(C6/ C7, 2)</f>
        <v>1.05</v>
      </c>
      <c r="D8" s="17">
        <f t="shared" ref="D8:G8" si="0">ROUND(D6/ D7, 2)</f>
        <v>4.08</v>
      </c>
      <c r="E8" s="17">
        <f t="shared" si="0"/>
        <v>6.36</v>
      </c>
      <c r="F8" s="17">
        <f t="shared" si="0"/>
        <v>6.98</v>
      </c>
      <c r="G8" s="17">
        <f t="shared" si="0"/>
        <v>8.14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ECB7AC-9E57-4412-BE3B-A74E1C4CC26A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41217.449999999997</v>
      </c>
      <c r="D6" s="16">
        <f>'Balance Sheet'!D39</f>
        <v>189144.73999999993</v>
      </c>
      <c r="E6" s="16">
        <f>'Balance Sheet'!E39</f>
        <v>319616.40999999992</v>
      </c>
      <c r="F6" s="16">
        <f>'Balance Sheet'!F39</f>
        <v>436496.55999999994</v>
      </c>
      <c r="G6" s="16">
        <f>'Balance Sheet'!G39</f>
        <v>596924.48999999987</v>
      </c>
    </row>
    <row r="7" spans="2:7" ht="18.75" x14ac:dyDescent="0.25">
      <c r="B7" s="15" t="str">
        <f>'Balance Sheet'!B36</f>
        <v>Inventories</v>
      </c>
      <c r="C7" s="16">
        <f>'Balance Sheet'!C36</f>
        <v>22530.94</v>
      </c>
      <c r="D7" s="16">
        <f>'Balance Sheet'!D36</f>
        <v>22934.87</v>
      </c>
      <c r="E7" s="16">
        <f>'Balance Sheet'!E36</f>
        <v>22242.6</v>
      </c>
      <c r="F7" s="16">
        <f>'Balance Sheet'!F36</f>
        <v>26706.02</v>
      </c>
      <c r="G7" s="16">
        <f>'Balance Sheet'!G36</f>
        <v>42178.74</v>
      </c>
    </row>
    <row r="8" spans="2:7" ht="18.75" x14ac:dyDescent="0.25">
      <c r="B8" s="15" t="str">
        <f>'Balance Sheet'!B19</f>
        <v>Total Current Liabilities</v>
      </c>
      <c r="C8" s="16">
        <f>'Balance Sheet'!C19</f>
        <v>39312.69</v>
      </c>
      <c r="D8" s="16">
        <f>'Balance Sheet'!D19</f>
        <v>46389.08</v>
      </c>
      <c r="E8" s="16">
        <f>'Balance Sheet'!E19</f>
        <v>50271.93</v>
      </c>
      <c r="F8" s="16">
        <f>'Balance Sheet'!F19</f>
        <v>62529.440000000002</v>
      </c>
      <c r="G8" s="16">
        <f>'Balance Sheet'!G19</f>
        <v>73314.61</v>
      </c>
    </row>
    <row r="9" spans="2:7" ht="18.75" x14ac:dyDescent="0.25">
      <c r="B9" s="17" t="s">
        <v>171</v>
      </c>
      <c r="C9" s="17">
        <f>ROUND((C6-C7)/ C8, 2)</f>
        <v>0.48</v>
      </c>
      <c r="D9" s="17">
        <f t="shared" ref="D9:G9" si="0">ROUND((D6-D7)/ D8, 2)</f>
        <v>3.58</v>
      </c>
      <c r="E9" s="17">
        <f t="shared" si="0"/>
        <v>5.92</v>
      </c>
      <c r="F9" s="17">
        <f t="shared" si="0"/>
        <v>6.55</v>
      </c>
      <c r="G9" s="17">
        <f t="shared" si="0"/>
        <v>7.57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3301C-1F94-4802-877C-9E2F50CA2D90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278567.11</v>
      </c>
      <c r="D5" s="2">
        <v>339639</v>
      </c>
      <c r="E5" s="2">
        <v>328608.96999999997</v>
      </c>
      <c r="F5" s="2">
        <v>303229.69</v>
      </c>
      <c r="G5" s="2">
        <v>432569.62</v>
      </c>
      <c r="H5" t="s">
        <v>1</v>
      </c>
    </row>
    <row r="6" spans="1:8" x14ac:dyDescent="0.25">
      <c r="A6" t="s">
        <v>98</v>
      </c>
      <c r="B6" t="s">
        <v>98</v>
      </c>
      <c r="C6" s="2">
        <v>43542.879999999997</v>
      </c>
      <c r="D6" s="2">
        <v>42653.56</v>
      </c>
      <c r="E6" s="2">
        <v>45225.26</v>
      </c>
      <c r="F6" s="2">
        <v>74103.649999999994</v>
      </c>
      <c r="G6" s="2">
        <v>85778.54</v>
      </c>
      <c r="H6" t="s">
        <v>1</v>
      </c>
    </row>
    <row r="7" spans="1:8" x14ac:dyDescent="0.25">
      <c r="B7" t="s">
        <v>57</v>
      </c>
      <c r="C7" s="2">
        <v>235024.23</v>
      </c>
      <c r="D7" s="2">
        <v>296985.44</v>
      </c>
      <c r="E7" s="2">
        <v>283383.71000000002</v>
      </c>
      <c r="F7" s="2">
        <v>229126.04</v>
      </c>
      <c r="G7" s="2">
        <v>346791.08</v>
      </c>
      <c r="H7" t="s">
        <v>1</v>
      </c>
    </row>
    <row r="8" spans="1:8" x14ac:dyDescent="0.25">
      <c r="B8" t="s">
        <v>58</v>
      </c>
      <c r="C8" s="2">
        <v>235895.11</v>
      </c>
      <c r="D8" s="2">
        <v>298225.59000000003</v>
      </c>
      <c r="E8" s="2">
        <v>284571.90000000002</v>
      </c>
      <c r="F8" s="2">
        <v>230162.63</v>
      </c>
      <c r="G8" s="2">
        <v>346791.08</v>
      </c>
      <c r="H8" t="s">
        <v>1</v>
      </c>
    </row>
    <row r="9" spans="1:8" x14ac:dyDescent="0.25">
      <c r="A9" t="s">
        <v>59</v>
      </c>
      <c r="B9" t="s">
        <v>59</v>
      </c>
      <c r="C9" s="2">
        <v>1674.4</v>
      </c>
      <c r="D9" s="2">
        <v>2037.54</v>
      </c>
      <c r="E9" s="2">
        <v>1929.33</v>
      </c>
      <c r="F9" s="2">
        <v>2253.04</v>
      </c>
      <c r="G9" s="2">
        <v>2268.54</v>
      </c>
      <c r="H9" t="s">
        <v>1</v>
      </c>
    </row>
    <row r="10" spans="1:8" x14ac:dyDescent="0.25">
      <c r="B10" t="s">
        <v>60</v>
      </c>
      <c r="C10" s="2">
        <v>237569.51</v>
      </c>
      <c r="D10" s="2">
        <v>300263.13</v>
      </c>
      <c r="E10" s="2">
        <v>286501.23</v>
      </c>
      <c r="F10" s="2">
        <v>232415.67</v>
      </c>
      <c r="G10" s="2">
        <v>349059.62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90110.77</v>
      </c>
      <c r="D12" s="2">
        <v>130693.29</v>
      </c>
      <c r="E12" s="2">
        <v>121896.01</v>
      </c>
      <c r="F12" s="2">
        <v>78778.039999999994</v>
      </c>
      <c r="G12" s="2">
        <v>163541.19</v>
      </c>
      <c r="H12" t="s">
        <v>1</v>
      </c>
    </row>
    <row r="13" spans="1:8" x14ac:dyDescent="0.25">
      <c r="B13" t="s">
        <v>63</v>
      </c>
      <c r="C13" s="2">
        <v>111797.58</v>
      </c>
      <c r="D13" s="2">
        <v>132055.42000000001</v>
      </c>
      <c r="E13" s="2">
        <v>131769.19</v>
      </c>
      <c r="F13" s="2">
        <v>112364.28</v>
      </c>
      <c r="G13" s="2">
        <v>143901.70000000001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 s="2">
        <v>203.35</v>
      </c>
      <c r="D15" s="2">
        <v>-1606.26</v>
      </c>
      <c r="E15" s="2">
        <v>-1073.07</v>
      </c>
      <c r="F15" s="2">
        <v>-3743.56</v>
      </c>
      <c r="G15">
        <v>-4041.62</v>
      </c>
      <c r="H15" t="s">
        <v>1</v>
      </c>
    </row>
    <row r="16" spans="1:8" x14ac:dyDescent="0.25">
      <c r="A16" t="s">
        <v>99</v>
      </c>
      <c r="B16" t="s">
        <v>66</v>
      </c>
      <c r="C16" s="2">
        <v>3748.53</v>
      </c>
      <c r="D16" s="2">
        <v>3984.81</v>
      </c>
      <c r="E16" s="2">
        <v>4020.51</v>
      </c>
      <c r="F16" s="2">
        <v>4856.3500000000004</v>
      </c>
      <c r="G16" s="2">
        <v>3408</v>
      </c>
      <c r="H16" t="s">
        <v>1</v>
      </c>
    </row>
    <row r="17" spans="1:8" x14ac:dyDescent="0.25">
      <c r="A17" t="s">
        <v>100</v>
      </c>
      <c r="B17" t="s">
        <v>67</v>
      </c>
      <c r="C17" s="2">
        <v>1185.74</v>
      </c>
      <c r="D17" s="2">
        <v>1763.95</v>
      </c>
      <c r="E17" s="2">
        <v>2637.01</v>
      </c>
      <c r="F17" s="2">
        <v>1723.41</v>
      </c>
      <c r="G17" s="2">
        <v>2605.64</v>
      </c>
      <c r="H17" t="s">
        <v>1</v>
      </c>
    </row>
    <row r="18" spans="1:8" x14ac:dyDescent="0.25">
      <c r="A18" t="s">
        <v>101</v>
      </c>
      <c r="B18" t="s">
        <v>68</v>
      </c>
      <c r="C18" s="2">
        <v>2885</v>
      </c>
      <c r="D18" s="2">
        <v>3417.77</v>
      </c>
      <c r="E18" s="2">
        <v>4080.09</v>
      </c>
      <c r="F18" s="2">
        <v>4334.21</v>
      </c>
      <c r="G18" s="2">
        <v>5434.35</v>
      </c>
      <c r="H18" t="s">
        <v>1</v>
      </c>
    </row>
    <row r="19" spans="1:8" x14ac:dyDescent="0.25">
      <c r="A19" t="s">
        <v>99</v>
      </c>
      <c r="B19" t="s">
        <v>69</v>
      </c>
      <c r="C19" s="2">
        <v>14753.9</v>
      </c>
      <c r="D19" s="2">
        <v>17986.099999999999</v>
      </c>
      <c r="E19" s="2">
        <v>19610.240000000002</v>
      </c>
      <c r="F19" s="2">
        <v>16611.150000000001</v>
      </c>
      <c r="G19" s="2">
        <v>20844.509999999998</v>
      </c>
      <c r="H19" t="s">
        <v>1</v>
      </c>
    </row>
    <row r="20" spans="1:8" x14ac:dyDescent="0.25">
      <c r="B20" t="s">
        <v>70</v>
      </c>
      <c r="C20" s="2">
        <v>224684.87</v>
      </c>
      <c r="D20" s="2">
        <v>288295.08</v>
      </c>
      <c r="E20" s="2">
        <v>282939.98</v>
      </c>
      <c r="F20" s="2">
        <v>214923.88</v>
      </c>
      <c r="G20" s="2">
        <v>335693.77</v>
      </c>
      <c r="H20" t="s">
        <v>1</v>
      </c>
    </row>
    <row r="21" spans="1:8" x14ac:dyDescent="0.25">
      <c r="B21" t="s">
        <v>71</v>
      </c>
      <c r="C21" s="2">
        <v>12884.64</v>
      </c>
      <c r="D21" s="2">
        <v>11968.05</v>
      </c>
      <c r="E21" s="2">
        <v>3561.25</v>
      </c>
      <c r="F21" s="2">
        <v>17491.79</v>
      </c>
      <c r="G21" s="2">
        <v>13365.85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 s="2">
        <v>-1310.3499999999999</v>
      </c>
      <c r="F22">
        <v>5265.76</v>
      </c>
      <c r="G22">
        <v>1135.1500000000001</v>
      </c>
      <c r="H22" t="s">
        <v>1</v>
      </c>
    </row>
    <row r="23" spans="1:8" x14ac:dyDescent="0.25">
      <c r="B23" t="s">
        <v>73</v>
      </c>
      <c r="C23" s="2">
        <v>12884.64</v>
      </c>
      <c r="D23" s="2">
        <v>11968.05</v>
      </c>
      <c r="E23" s="2">
        <v>2250.9</v>
      </c>
      <c r="F23" s="2">
        <v>22757.55</v>
      </c>
      <c r="G23" s="2">
        <v>14501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3234.82</v>
      </c>
      <c r="D25" s="2">
        <v>3109.18</v>
      </c>
      <c r="E25">
        <v>629.96</v>
      </c>
      <c r="F25" s="2">
        <v>6165.29</v>
      </c>
      <c r="G25" s="2">
        <v>4355.2299999999996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1452.24</v>
      </c>
      <c r="D27" s="2">
        <v>1367.53</v>
      </c>
      <c r="E27">
        <v>-14.49</v>
      </c>
      <c r="F27" s="2">
        <v>-1135.27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4381.6099999999997</v>
      </c>
      <c r="D29" s="2">
        <v>4377.5200000000004</v>
      </c>
      <c r="E29">
        <v>-14.21</v>
      </c>
      <c r="F29" s="2">
        <v>5112.1899999999996</v>
      </c>
      <c r="G29" s="2">
        <v>4355.2299999999996</v>
      </c>
      <c r="H29" t="s">
        <v>1</v>
      </c>
    </row>
    <row r="30" spans="1:8" x14ac:dyDescent="0.25">
      <c r="B30" t="s">
        <v>80</v>
      </c>
      <c r="C30" s="2">
        <v>8503.0300000000007</v>
      </c>
      <c r="D30" s="2">
        <v>7590.53</v>
      </c>
      <c r="E30" s="2">
        <v>2265.11</v>
      </c>
      <c r="F30" s="2">
        <v>17645.36</v>
      </c>
      <c r="G30" s="2">
        <v>10145.77</v>
      </c>
      <c r="H30" t="s">
        <v>1</v>
      </c>
    </row>
    <row r="31" spans="1:8" x14ac:dyDescent="0.25">
      <c r="B31" t="s">
        <v>81</v>
      </c>
      <c r="C31" s="2">
        <v>8503.0300000000007</v>
      </c>
      <c r="D31" s="2">
        <v>7590.53</v>
      </c>
      <c r="E31" s="2">
        <v>2265.11</v>
      </c>
      <c r="F31" s="2">
        <v>17645.36</v>
      </c>
      <c r="G31" s="2">
        <v>10145.77</v>
      </c>
      <c r="H31" t="s">
        <v>1</v>
      </c>
    </row>
    <row r="32" spans="1:8" x14ac:dyDescent="0.25">
      <c r="B32" t="s">
        <v>82</v>
      </c>
      <c r="C32" s="2">
        <v>8503.0300000000007</v>
      </c>
      <c r="D32" s="2">
        <v>7590.53</v>
      </c>
      <c r="E32" s="2">
        <v>2265.11</v>
      </c>
      <c r="F32" s="2">
        <v>17645.36</v>
      </c>
      <c r="G32" s="2">
        <v>10145.77</v>
      </c>
      <c r="H32" t="s">
        <v>1</v>
      </c>
    </row>
    <row r="33" spans="1:8" x14ac:dyDescent="0.25">
      <c r="B33" t="s">
        <v>10</v>
      </c>
      <c r="C33">
        <v>-783.28</v>
      </c>
      <c r="D33" s="2">
        <v>-725.55</v>
      </c>
      <c r="E33">
        <v>-610.41999999999996</v>
      </c>
      <c r="F33">
        <v>-1154.8499999999999</v>
      </c>
      <c r="G33">
        <v>0</v>
      </c>
      <c r="H33" t="s">
        <v>1</v>
      </c>
    </row>
    <row r="34" spans="1:8" x14ac:dyDescent="0.25">
      <c r="B34" t="s">
        <v>83</v>
      </c>
      <c r="C34" s="2">
        <v>9008.6299999999992</v>
      </c>
      <c r="D34" s="2">
        <v>7802.3</v>
      </c>
      <c r="E34" s="2">
        <v>3055.36</v>
      </c>
      <c r="F34" s="2">
        <v>16164.98</v>
      </c>
      <c r="G34" s="2">
        <v>11681.5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46</v>
      </c>
      <c r="D37">
        <v>40</v>
      </c>
      <c r="E37">
        <v>16</v>
      </c>
      <c r="F37">
        <v>82</v>
      </c>
      <c r="G37">
        <v>55</v>
      </c>
      <c r="H37" t="s">
        <v>1</v>
      </c>
    </row>
    <row r="38" spans="1:8" x14ac:dyDescent="0.25">
      <c r="B38" t="s">
        <v>86</v>
      </c>
      <c r="C38">
        <v>46</v>
      </c>
      <c r="D38">
        <v>40</v>
      </c>
      <c r="E38">
        <v>16</v>
      </c>
      <c r="F38">
        <v>82</v>
      </c>
      <c r="G38">
        <v>55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2884.76</v>
      </c>
      <c r="D40" s="2">
        <v>3540.39</v>
      </c>
      <c r="E40" s="2">
        <v>4818.8599999999997</v>
      </c>
      <c r="F40" s="2">
        <v>4555.43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647.61</v>
      </c>
      <c r="D41">
        <v>801.76</v>
      </c>
      <c r="E41" s="2">
        <v>1091.23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62876-B5D5-4C9E-92BA-9C4D8FD5E81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125200.42999999998</v>
      </c>
      <c r="D6" s="16">
        <f>'Income Statement'!D19</f>
        <v>142941.00999999998</v>
      </c>
      <c r="E6" s="16">
        <f>'Income Statement'!E19</f>
        <v>135706.19</v>
      </c>
      <c r="F6" s="16">
        <f>'Income Statement'!F19</f>
        <v>126799.33</v>
      </c>
      <c r="G6" s="16">
        <f>'Income Statement'!G19</f>
        <v>155831.56999999998</v>
      </c>
    </row>
    <row r="7" spans="2:7" ht="18.75" x14ac:dyDescent="0.25">
      <c r="B7" s="15" t="str">
        <f>'Income Statement'!B20</f>
        <v>Finance Costs</v>
      </c>
      <c r="C7" s="16">
        <f>'Income Statement'!C20</f>
        <v>1185.74</v>
      </c>
      <c r="D7" s="16">
        <f>'Income Statement'!D20</f>
        <v>1763.95</v>
      </c>
      <c r="E7" s="16">
        <f>'Income Statement'!E20</f>
        <v>2637.01</v>
      </c>
      <c r="F7" s="16">
        <f>'Income Statement'!F20</f>
        <v>1723.41</v>
      </c>
      <c r="G7" s="16">
        <f>'Income Statement'!G20</f>
        <v>2605.64</v>
      </c>
    </row>
    <row r="8" spans="2:7" ht="18.75" x14ac:dyDescent="0.25">
      <c r="B8" s="17" t="s">
        <v>173</v>
      </c>
      <c r="C8" s="17">
        <f>ROUND(C6/C7, 2)</f>
        <v>105.59</v>
      </c>
      <c r="D8" s="17">
        <f t="shared" ref="D8:G8" si="0">ROUND(D6/D7, 2)</f>
        <v>81.03</v>
      </c>
      <c r="E8" s="17">
        <f t="shared" si="0"/>
        <v>51.46</v>
      </c>
      <c r="F8" s="17">
        <f t="shared" si="0"/>
        <v>73.569999999999993</v>
      </c>
      <c r="G8" s="17">
        <f t="shared" si="0"/>
        <v>59.81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5D46B-4C41-4231-9F9D-A0A545EE0FD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90110.77</v>
      </c>
      <c r="D6" s="16">
        <f>'Income Statement'!D11</f>
        <v>130693.29</v>
      </c>
      <c r="E6" s="16">
        <f>'Income Statement'!E11</f>
        <v>121896.01</v>
      </c>
      <c r="F6" s="16">
        <f>'Income Statement'!F11</f>
        <v>78778.039999999994</v>
      </c>
      <c r="G6" s="16">
        <f>'Income Statement'!G11</f>
        <v>163541.19</v>
      </c>
    </row>
    <row r="7" spans="2:7" ht="18.75" x14ac:dyDescent="0.25">
      <c r="B7" s="15" t="str">
        <f>'Income Statement'!B7</f>
        <v>Net Sales</v>
      </c>
      <c r="C7" s="16">
        <f>'Income Statement'!C7</f>
        <v>235024.22999999998</v>
      </c>
      <c r="D7" s="16">
        <f>'Income Statement'!D7</f>
        <v>296985.44</v>
      </c>
      <c r="E7" s="16">
        <f>'Income Statement'!E7</f>
        <v>283383.70999999996</v>
      </c>
      <c r="F7" s="16">
        <f>'Income Statement'!F7</f>
        <v>229126.04</v>
      </c>
      <c r="G7" s="16">
        <f>'Income Statement'!G7</f>
        <v>346791.08</v>
      </c>
    </row>
    <row r="8" spans="2:7" ht="18.75" x14ac:dyDescent="0.25">
      <c r="B8" s="17" t="s">
        <v>175</v>
      </c>
      <c r="C8" s="17">
        <f>ROUND(C6/C7, 2)</f>
        <v>0.38</v>
      </c>
      <c r="D8" s="17">
        <f t="shared" ref="D8:G8" si="0">ROUND(D6/D7, 2)</f>
        <v>0.44</v>
      </c>
      <c r="E8" s="17">
        <f t="shared" si="0"/>
        <v>0.43</v>
      </c>
      <c r="F8" s="17">
        <f t="shared" si="0"/>
        <v>0.34</v>
      </c>
      <c r="G8" s="17">
        <f t="shared" si="0"/>
        <v>0.47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4B0B8B-531D-4CFC-9D56-C54F1EF473F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1353.86</v>
      </c>
      <c r="D6" s="16">
        <f>'Balance Sheet'!D38</f>
        <v>140753.11999999994</v>
      </c>
      <c r="E6" s="16">
        <f>'Balance Sheet'!E38</f>
        <v>274877.50999999995</v>
      </c>
      <c r="F6" s="16">
        <f>'Balance Sheet'!F38</f>
        <v>391620.74999999994</v>
      </c>
      <c r="G6" s="16">
        <f>'Balance Sheet'!G38</f>
        <v>534582.85999999987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90110.77</v>
      </c>
      <c r="D7" s="16">
        <f>'Income Statement'!D11</f>
        <v>130693.29</v>
      </c>
      <c r="E7" s="16">
        <f>'Income Statement'!E11</f>
        <v>121896.01</v>
      </c>
      <c r="F7" s="16">
        <f>'Income Statement'!F11</f>
        <v>78778.039999999994</v>
      </c>
      <c r="G7" s="16">
        <f>'Income Statement'!G11</f>
        <v>163541.19</v>
      </c>
    </row>
    <row r="8" spans="2:7" ht="18.75" x14ac:dyDescent="0.25">
      <c r="B8" s="17" t="s">
        <v>177</v>
      </c>
      <c r="C8" s="17">
        <f>ROUND(C6/C7*365, 2)</f>
        <v>5.48</v>
      </c>
      <c r="D8" s="17">
        <f t="shared" ref="D8:G8" si="0">ROUND(D6/D7*365, 2)</f>
        <v>393.1</v>
      </c>
      <c r="E8" s="17">
        <f t="shared" si="0"/>
        <v>823.08</v>
      </c>
      <c r="F8" s="17">
        <f t="shared" si="0"/>
        <v>1814.49</v>
      </c>
      <c r="G8" s="17">
        <f t="shared" si="0"/>
        <v>1193.1099999999999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13FC6B-325A-42F4-ADAE-43A9FE1DB36D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5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1353.86</v>
      </c>
      <c r="D6" s="16">
        <f>'Balance Sheet'!D38</f>
        <v>140753.11999999994</v>
      </c>
      <c r="E6" s="16">
        <f>'Balance Sheet'!E38</f>
        <v>274877.50999999995</v>
      </c>
      <c r="F6" s="16">
        <f>'Balance Sheet'!F38</f>
        <v>391620.74999999994</v>
      </c>
      <c r="G6" s="16">
        <f>'Balance Sheet'!G38</f>
        <v>534582.85999999987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1353.86</v>
      </c>
      <c r="D8" s="17">
        <f t="shared" ref="D8:G8" si="0">ROUND(D6/D7*365, 2)</f>
        <v>140753.12</v>
      </c>
      <c r="E8" s="17">
        <f t="shared" si="0"/>
        <v>274877.51</v>
      </c>
      <c r="F8" s="17">
        <f t="shared" si="0"/>
        <v>391620.75</v>
      </c>
      <c r="G8" s="17">
        <f t="shared" si="0"/>
        <v>534582.86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25844-4722-422C-AAEB-3F434F00CE0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Sheet'!B40</f>
        <v>Total Assets</v>
      </c>
      <c r="C7" s="16">
        <f>'Balance Sheet'!C40</f>
        <v>120356.06000000001</v>
      </c>
      <c r="D7" s="16">
        <f>'Balance Sheet'!D40</f>
        <v>267241.61999999994</v>
      </c>
      <c r="E7" s="16">
        <f>'Balance Sheet'!E40</f>
        <v>409270.1399999999</v>
      </c>
      <c r="F7" s="16">
        <f>'Balance Sheet'!F40</f>
        <v>523175.94999999995</v>
      </c>
      <c r="G7" s="16">
        <f>'Balance Sheet'!G40</f>
        <v>701404.39999999991</v>
      </c>
    </row>
    <row r="8" spans="2:7" ht="18.75" x14ac:dyDescent="0.25">
      <c r="B8" s="17" t="s">
        <v>182</v>
      </c>
      <c r="C8" s="17">
        <f>ROUND(C6/C7, 2)</f>
        <v>2.31</v>
      </c>
      <c r="D8" s="17">
        <f t="shared" ref="D8:G8" si="0">ROUND(D6/D7, 2)</f>
        <v>1.27</v>
      </c>
      <c r="E8" s="17">
        <f t="shared" si="0"/>
        <v>0.8</v>
      </c>
      <c r="F8" s="17">
        <f t="shared" si="0"/>
        <v>0.57999999999999996</v>
      </c>
      <c r="G8" s="17">
        <f t="shared" si="0"/>
        <v>0.62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980D5-651C-46A3-90D8-F0040A72D8F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Sheet'!B36</f>
        <v>Inventories</v>
      </c>
      <c r="C7" s="16">
        <f>'Balance Sheet'!C36</f>
        <v>22530.94</v>
      </c>
      <c r="D7" s="16">
        <f>'Balance Sheet'!D36</f>
        <v>22934.87</v>
      </c>
      <c r="E7" s="16">
        <f>'Balance Sheet'!E36</f>
        <v>22242.6</v>
      </c>
      <c r="F7" s="16">
        <f>'Balance Sheet'!F36</f>
        <v>26706.02</v>
      </c>
      <c r="G7" s="16">
        <f>'Balance Sheet'!G36</f>
        <v>42178.74</v>
      </c>
    </row>
    <row r="8" spans="2:7" ht="18.75" x14ac:dyDescent="0.25">
      <c r="B8" s="17" t="s">
        <v>184</v>
      </c>
      <c r="C8" s="17">
        <f>ROUND(C6/C7, 2)</f>
        <v>12.36</v>
      </c>
      <c r="D8" s="17">
        <f t="shared" ref="D8:G8" si="0">ROUND(D6/D7, 2)</f>
        <v>14.81</v>
      </c>
      <c r="E8" s="17">
        <f t="shared" si="0"/>
        <v>14.77</v>
      </c>
      <c r="F8" s="17">
        <f t="shared" si="0"/>
        <v>11.35</v>
      </c>
      <c r="G8" s="17">
        <f t="shared" si="0"/>
        <v>10.26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FF90ED-FA9F-4259-9084-59EE7E562E8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Sheet'!B37</f>
        <v>Trade Receivables</v>
      </c>
      <c r="C7" s="16">
        <f>'Balance Sheet'!C37</f>
        <v>5209.28</v>
      </c>
      <c r="D7" s="16">
        <f>'Balance Sheet'!D37</f>
        <v>6906.25</v>
      </c>
      <c r="E7" s="16">
        <f>'Balance Sheet'!E37</f>
        <v>5378.02</v>
      </c>
      <c r="F7" s="16">
        <f>'Balance Sheet'!F37</f>
        <v>7834.77</v>
      </c>
      <c r="G7" s="16">
        <f>'Balance Sheet'!G37</f>
        <v>9707.4699999999993</v>
      </c>
    </row>
    <row r="8" spans="2:7" ht="18.75" x14ac:dyDescent="0.25">
      <c r="B8" s="17" t="s">
        <v>186</v>
      </c>
      <c r="C8" s="17">
        <f>ROUND(C6/C7, 2)</f>
        <v>53.48</v>
      </c>
      <c r="D8" s="17">
        <f t="shared" ref="D8:G8" si="0">ROUND(D6/D7, 2)</f>
        <v>49.18</v>
      </c>
      <c r="E8" s="17">
        <f t="shared" si="0"/>
        <v>61.1</v>
      </c>
      <c r="F8" s="17">
        <f t="shared" si="0"/>
        <v>38.700000000000003</v>
      </c>
      <c r="G8" s="17">
        <f t="shared" si="0"/>
        <v>44.56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BB389-D267-403A-A2D8-7E86FC0BD04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Sheet'!B23</f>
        <v>Tangible Assets</v>
      </c>
      <c r="C7" s="16">
        <f>'Balance Sheet'!C23</f>
        <v>45260.94</v>
      </c>
      <c r="D7" s="16">
        <f>'Balance Sheet'!D23</f>
        <v>48971.28</v>
      </c>
      <c r="E7" s="16">
        <f>'Balance Sheet'!E23</f>
        <v>59793.97</v>
      </c>
      <c r="F7" s="16">
        <f>'Balance Sheet'!F23</f>
        <v>63588.89</v>
      </c>
      <c r="G7" s="16">
        <f>'Balance Sheet'!G23</f>
        <v>98130.43</v>
      </c>
    </row>
    <row r="8" spans="2:7" ht="18.75" x14ac:dyDescent="0.25">
      <c r="B8" s="17" t="s">
        <v>188</v>
      </c>
      <c r="C8" s="17">
        <f>ROUND(C6/C7, 2)</f>
        <v>6.15</v>
      </c>
      <c r="D8" s="17">
        <f t="shared" ref="D8:G8" si="0">ROUND(D6/D7, 2)</f>
        <v>6.94</v>
      </c>
      <c r="E8" s="17">
        <f t="shared" si="0"/>
        <v>5.5</v>
      </c>
      <c r="F8" s="17">
        <f t="shared" si="0"/>
        <v>4.7699999999999996</v>
      </c>
      <c r="G8" s="17">
        <f t="shared" si="0"/>
        <v>4.41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B5FCE-F364-4C78-BF74-CA99894BC81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90110.77</v>
      </c>
      <c r="D6" s="16">
        <f>'Income Statement'!D11</f>
        <v>130693.29</v>
      </c>
      <c r="E6" s="16">
        <f>'Income Statement'!E11</f>
        <v>121896.01</v>
      </c>
      <c r="F6" s="16">
        <f>'Income Statement'!F11</f>
        <v>78778.039999999994</v>
      </c>
      <c r="G6" s="16">
        <f>'Income Statement'!G11</f>
        <v>163541.19</v>
      </c>
    </row>
    <row r="7" spans="2:7" ht="18.75" x14ac:dyDescent="0.25">
      <c r="B7" s="15" t="str">
        <f>'Balance Sheet'!B19</f>
        <v>Total Current Liabilities</v>
      </c>
      <c r="C7" s="16">
        <f>'Balance Sheet'!C19</f>
        <v>39312.69</v>
      </c>
      <c r="D7" s="16">
        <f>'Balance Sheet'!D19</f>
        <v>46389.08</v>
      </c>
      <c r="E7" s="16">
        <f>'Balance Sheet'!E19</f>
        <v>50271.93</v>
      </c>
      <c r="F7" s="16">
        <f>'Balance Sheet'!F19</f>
        <v>62529.440000000002</v>
      </c>
      <c r="G7" s="16">
        <f>'Balance Sheet'!G19</f>
        <v>73314.61</v>
      </c>
    </row>
    <row r="8" spans="2:7" ht="18.75" x14ac:dyDescent="0.25">
      <c r="B8" s="17" t="s">
        <v>190</v>
      </c>
      <c r="C8" s="17">
        <f>ROUND(C6/C7, 2)</f>
        <v>2.29</v>
      </c>
      <c r="D8" s="17">
        <f t="shared" ref="D8:G8" si="0">ROUND(D6/D7, 2)</f>
        <v>2.82</v>
      </c>
      <c r="E8" s="17">
        <f t="shared" si="0"/>
        <v>2.42</v>
      </c>
      <c r="F8" s="17">
        <f t="shared" si="0"/>
        <v>1.26</v>
      </c>
      <c r="G8" s="17">
        <f t="shared" si="0"/>
        <v>2.23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00C522-612C-4EBD-8F94-8FEF74B56F2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Sheet'!B36</f>
        <v>Inventories</v>
      </c>
      <c r="C7" s="16">
        <f>'Balance Sheet'!C36</f>
        <v>22530.94</v>
      </c>
      <c r="D7" s="16">
        <f>'Balance Sheet'!D36</f>
        <v>22934.87</v>
      </c>
      <c r="E7" s="16">
        <f>'Balance Sheet'!E36</f>
        <v>22242.6</v>
      </c>
      <c r="F7" s="16">
        <f>'Balance Sheet'!F36</f>
        <v>26706.02</v>
      </c>
      <c r="G7" s="16">
        <f>'Balance Sheet'!G36</f>
        <v>42178.74</v>
      </c>
    </row>
    <row r="8" spans="2:7" ht="18.75" x14ac:dyDescent="0.25">
      <c r="B8" s="17" t="s">
        <v>192</v>
      </c>
      <c r="C8" s="17">
        <f>ROUND(365/C6*C7, 2)</f>
        <v>29.52</v>
      </c>
      <c r="D8" s="17">
        <f t="shared" ref="D8:G8" si="0">ROUND(365/D6*D7, 2)</f>
        <v>24.65</v>
      </c>
      <c r="E8" s="17">
        <f t="shared" si="0"/>
        <v>24.71</v>
      </c>
      <c r="F8" s="17">
        <f t="shared" si="0"/>
        <v>32.15</v>
      </c>
      <c r="G8" s="17">
        <f t="shared" si="0"/>
        <v>35.590000000000003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48C23-6CD7-4513-9C9C-0B69DC3FD57D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5" width="17.140625" bestFit="1" customWidth="1"/>
    <col min="6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278567.11</v>
      </c>
      <c r="D5" s="5">
        <v>339639</v>
      </c>
      <c r="E5" s="5">
        <v>328608.96999999997</v>
      </c>
      <c r="F5" s="5">
        <v>303229.69</v>
      </c>
      <c r="G5" s="5">
        <v>432569.62</v>
      </c>
    </row>
    <row r="6" spans="2:7" ht="18.75" x14ac:dyDescent="0.25">
      <c r="B6" s="8" t="s">
        <v>98</v>
      </c>
      <c r="C6" s="5">
        <v>43542.879999999997</v>
      </c>
      <c r="D6" s="5">
        <v>42653.56</v>
      </c>
      <c r="E6" s="5">
        <v>45225.26</v>
      </c>
      <c r="F6" s="5">
        <v>74103.649999999994</v>
      </c>
      <c r="G6" s="5">
        <v>85778.54</v>
      </c>
    </row>
    <row r="7" spans="2:7" ht="18.75" x14ac:dyDescent="0.25">
      <c r="B7" s="9" t="s">
        <v>105</v>
      </c>
      <c r="C7" s="7">
        <f>C5 - C6</f>
        <v>235024.22999999998</v>
      </c>
      <c r="D7" s="7">
        <f t="shared" ref="D7:G7" si="0">D5 - D6</f>
        <v>296985.44</v>
      </c>
      <c r="E7" s="7">
        <f t="shared" si="0"/>
        <v>283383.70999999996</v>
      </c>
      <c r="F7" s="7">
        <f t="shared" si="0"/>
        <v>229126.04</v>
      </c>
      <c r="G7" s="7">
        <f t="shared" si="0"/>
        <v>346791.08</v>
      </c>
    </row>
    <row r="8" spans="2:7" ht="18.75" x14ac:dyDescent="0.25">
      <c r="B8" s="8" t="s">
        <v>59</v>
      </c>
      <c r="C8" s="5">
        <v>1674.4</v>
      </c>
      <c r="D8" s="5">
        <v>2037.54</v>
      </c>
      <c r="E8" s="5">
        <v>1929.33</v>
      </c>
      <c r="F8" s="5">
        <v>2253.04</v>
      </c>
      <c r="G8" s="5">
        <v>2268.54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236698.62999999998</v>
      </c>
      <c r="D10" s="7">
        <f t="shared" ref="D10:G10" si="1">SUM(D7:D9)</f>
        <v>299022.98</v>
      </c>
      <c r="E10" s="7">
        <f t="shared" si="1"/>
        <v>285313.03999999998</v>
      </c>
      <c r="F10" s="7">
        <f t="shared" si="1"/>
        <v>231379.08000000002</v>
      </c>
      <c r="G10" s="7">
        <f t="shared" si="1"/>
        <v>349059.62</v>
      </c>
    </row>
    <row r="11" spans="2:7" ht="18.75" x14ac:dyDescent="0.25">
      <c r="B11" s="8" t="s">
        <v>62</v>
      </c>
      <c r="C11" s="5">
        <v>90110.77</v>
      </c>
      <c r="D11" s="5">
        <v>130693.29</v>
      </c>
      <c r="E11" s="5">
        <v>121896.01</v>
      </c>
      <c r="F11" s="5">
        <v>78778.039999999994</v>
      </c>
      <c r="G11" s="5">
        <v>163541.19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3748.53</v>
      </c>
      <c r="D13" s="5">
        <v>3984.81</v>
      </c>
      <c r="E13" s="5">
        <v>4020.51</v>
      </c>
      <c r="F13" s="5">
        <v>4856.3500000000004</v>
      </c>
      <c r="G13" s="5">
        <v>3408</v>
      </c>
    </row>
    <row r="14" spans="2:7" ht="18.75" x14ac:dyDescent="0.25">
      <c r="B14" s="8" t="s">
        <v>69</v>
      </c>
      <c r="C14" s="5">
        <v>14753.9</v>
      </c>
      <c r="D14" s="5">
        <v>17986.099999999999</v>
      </c>
      <c r="E14" s="5">
        <v>19610.240000000002</v>
      </c>
      <c r="F14" s="5">
        <v>16611.150000000001</v>
      </c>
      <c r="G14" s="5">
        <v>20844.509999999998</v>
      </c>
    </row>
    <row r="15" spans="2:7" ht="18.75" x14ac:dyDescent="0.25">
      <c r="B15" s="9" t="s">
        <v>108</v>
      </c>
      <c r="C15" s="7">
        <f>C11+C12+C13+C14</f>
        <v>108613.2</v>
      </c>
      <c r="D15" s="7">
        <f t="shared" ref="D15:G15" si="2">D11+D12+D13+D14</f>
        <v>152664.20000000001</v>
      </c>
      <c r="E15" s="7">
        <f t="shared" si="2"/>
        <v>145526.75999999998</v>
      </c>
      <c r="F15" s="7">
        <f t="shared" si="2"/>
        <v>100245.54000000001</v>
      </c>
      <c r="G15" s="7">
        <f t="shared" si="2"/>
        <v>187793.7</v>
      </c>
    </row>
    <row r="16" spans="2:7" ht="18.75" x14ac:dyDescent="0.25">
      <c r="B16" s="9" t="s">
        <v>109</v>
      </c>
      <c r="C16" s="7">
        <f xml:space="preserve"> C10-C15-C8</f>
        <v>126411.02999999998</v>
      </c>
      <c r="D16" s="7">
        <f t="shared" ref="D16:G16" si="3" xml:space="preserve"> D10-D15-D8</f>
        <v>144321.23999999996</v>
      </c>
      <c r="E16" s="7">
        <f t="shared" si="3"/>
        <v>137856.95000000001</v>
      </c>
      <c r="F16" s="7">
        <f t="shared" si="3"/>
        <v>128880.50000000001</v>
      </c>
      <c r="G16" s="7">
        <f t="shared" si="3"/>
        <v>158997.37999999998</v>
      </c>
    </row>
    <row r="17" spans="2:7" ht="18.75" x14ac:dyDescent="0.25">
      <c r="B17" s="9" t="s">
        <v>110</v>
      </c>
      <c r="C17" s="7">
        <f xml:space="preserve"> C16+C8</f>
        <v>128085.42999999998</v>
      </c>
      <c r="D17" s="7">
        <f t="shared" ref="D17:G17" si="4" xml:space="preserve"> D16+D8</f>
        <v>146358.77999999997</v>
      </c>
      <c r="E17" s="7">
        <f t="shared" si="4"/>
        <v>139786.28</v>
      </c>
      <c r="F17" s="7">
        <f t="shared" si="4"/>
        <v>131133.54</v>
      </c>
      <c r="G17" s="7">
        <f t="shared" si="4"/>
        <v>161265.91999999998</v>
      </c>
    </row>
    <row r="18" spans="2:7" ht="18.75" x14ac:dyDescent="0.25">
      <c r="B18" s="8" t="s">
        <v>68</v>
      </c>
      <c r="C18" s="5">
        <v>2885</v>
      </c>
      <c r="D18" s="5">
        <v>3417.77</v>
      </c>
      <c r="E18" s="5">
        <v>4080.09</v>
      </c>
      <c r="F18" s="5">
        <v>4334.21</v>
      </c>
      <c r="G18" s="5">
        <v>5434.35</v>
      </c>
    </row>
    <row r="19" spans="2:7" ht="18.75" x14ac:dyDescent="0.25">
      <c r="B19" s="9" t="s">
        <v>111</v>
      </c>
      <c r="C19" s="7">
        <f xml:space="preserve"> C17-C18</f>
        <v>125200.42999999998</v>
      </c>
      <c r="D19" s="7">
        <f t="shared" ref="D19:G19" si="5" xml:space="preserve"> D17-D18</f>
        <v>142941.00999999998</v>
      </c>
      <c r="E19" s="7">
        <f t="shared" si="5"/>
        <v>135706.19</v>
      </c>
      <c r="F19" s="7">
        <f t="shared" si="5"/>
        <v>126799.33</v>
      </c>
      <c r="G19" s="7">
        <f t="shared" si="5"/>
        <v>155831.56999999998</v>
      </c>
    </row>
    <row r="20" spans="2:7" ht="18.75" x14ac:dyDescent="0.25">
      <c r="B20" s="8" t="s">
        <v>67</v>
      </c>
      <c r="C20" s="5">
        <v>1185.74</v>
      </c>
      <c r="D20" s="5">
        <v>1763.95</v>
      </c>
      <c r="E20" s="5">
        <v>2637.01</v>
      </c>
      <c r="F20" s="5">
        <v>1723.41</v>
      </c>
      <c r="G20" s="5">
        <v>2605.64</v>
      </c>
    </row>
    <row r="21" spans="2:7" ht="18.75" x14ac:dyDescent="0.25">
      <c r="B21" s="9" t="s">
        <v>112</v>
      </c>
      <c r="C21" s="7">
        <f xml:space="preserve"> C19-C20</f>
        <v>124014.68999999997</v>
      </c>
      <c r="D21" s="7">
        <f t="shared" ref="D21:G21" si="6" xml:space="preserve"> D19-D20</f>
        <v>141177.05999999997</v>
      </c>
      <c r="E21" s="7">
        <f t="shared" si="6"/>
        <v>133069.18</v>
      </c>
      <c r="F21" s="7">
        <f t="shared" si="6"/>
        <v>125075.92</v>
      </c>
      <c r="G21" s="7">
        <f t="shared" si="6"/>
        <v>153225.92999999996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124014.68999999997</v>
      </c>
      <c r="D23" s="7">
        <f t="shared" ref="D23:G23" si="7" xml:space="preserve"> D21+D22</f>
        <v>141177.05999999997</v>
      </c>
      <c r="E23" s="7">
        <f t="shared" si="7"/>
        <v>133069.18</v>
      </c>
      <c r="F23" s="7">
        <f t="shared" si="7"/>
        <v>125075.92</v>
      </c>
      <c r="G23" s="7">
        <f t="shared" si="7"/>
        <v>153225.92999999996</v>
      </c>
    </row>
    <row r="24" spans="2:7" ht="18.75" x14ac:dyDescent="0.25">
      <c r="B24" s="8" t="s">
        <v>72</v>
      </c>
      <c r="C24" s="5">
        <v>0</v>
      </c>
      <c r="D24" s="5">
        <v>0</v>
      </c>
      <c r="E24" s="5">
        <v>-1310.3499999999999</v>
      </c>
      <c r="F24" s="4">
        <v>5265.76</v>
      </c>
      <c r="G24" s="4">
        <v>1135.1500000000001</v>
      </c>
    </row>
    <row r="25" spans="2:7" ht="18.75" x14ac:dyDescent="0.25">
      <c r="B25" s="9" t="s">
        <v>115</v>
      </c>
      <c r="C25" s="7">
        <f xml:space="preserve"> C23+C24</f>
        <v>124014.68999999997</v>
      </c>
      <c r="D25" s="7">
        <f t="shared" ref="D25:G25" si="8" xml:space="preserve"> D23+D24</f>
        <v>141177.05999999997</v>
      </c>
      <c r="E25" s="7">
        <f t="shared" si="8"/>
        <v>131758.82999999999</v>
      </c>
      <c r="F25" s="7">
        <f t="shared" si="8"/>
        <v>130341.68</v>
      </c>
      <c r="G25" s="7">
        <f t="shared" si="8"/>
        <v>154361.07999999996</v>
      </c>
    </row>
    <row r="26" spans="2:7" ht="18.75" x14ac:dyDescent="0.25">
      <c r="B26" s="8" t="s">
        <v>79</v>
      </c>
      <c r="C26" s="5">
        <v>4381.6099999999997</v>
      </c>
      <c r="D26" s="5">
        <v>4377.5200000000004</v>
      </c>
      <c r="E26" s="4">
        <v>-14.21</v>
      </c>
      <c r="F26" s="5">
        <v>5112.1899999999996</v>
      </c>
      <c r="G26" s="5">
        <v>4355.2299999999996</v>
      </c>
    </row>
    <row r="27" spans="2:7" ht="18.75" x14ac:dyDescent="0.25">
      <c r="B27" s="9" t="s">
        <v>116</v>
      </c>
      <c r="C27" s="7">
        <f xml:space="preserve"> C25-C26</f>
        <v>119633.07999999997</v>
      </c>
      <c r="D27" s="7">
        <f t="shared" ref="D27:G27" si="9" xml:space="preserve"> D25-D26</f>
        <v>136799.53999999998</v>
      </c>
      <c r="E27" s="7">
        <f t="shared" si="9"/>
        <v>131773.03999999998</v>
      </c>
      <c r="F27" s="7">
        <f t="shared" si="9"/>
        <v>125229.48999999999</v>
      </c>
      <c r="G27" s="7">
        <f t="shared" si="9"/>
        <v>150005.84999999995</v>
      </c>
    </row>
    <row r="28" spans="2:7" ht="18.75" x14ac:dyDescent="0.25">
      <c r="B28" s="8" t="s">
        <v>88</v>
      </c>
      <c r="C28" s="4">
        <v>2884.76</v>
      </c>
      <c r="D28" s="5">
        <v>3540.39</v>
      </c>
      <c r="E28" s="5">
        <v>4818.8599999999997</v>
      </c>
      <c r="F28" s="5">
        <v>4555.43</v>
      </c>
      <c r="G28" s="5">
        <v>0</v>
      </c>
    </row>
    <row r="29" spans="2:7" ht="18.75" x14ac:dyDescent="0.25">
      <c r="B29" s="8" t="s">
        <v>89</v>
      </c>
      <c r="C29" s="4">
        <v>647.61</v>
      </c>
      <c r="D29" s="4">
        <v>801.76</v>
      </c>
      <c r="E29" s="5">
        <v>1091.23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116100.70999999998</v>
      </c>
      <c r="D30" s="7">
        <f t="shared" ref="D30:G30" si="10" xml:space="preserve"> D27-D28-D29</f>
        <v>132457.38999999996</v>
      </c>
      <c r="E30" s="7">
        <f t="shared" si="10"/>
        <v>125862.94999999998</v>
      </c>
      <c r="F30" s="7">
        <f t="shared" si="10"/>
        <v>120674.06</v>
      </c>
      <c r="G30" s="7">
        <f t="shared" si="10"/>
        <v>150005.84999999995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46</v>
      </c>
      <c r="D34" s="4">
        <v>40</v>
      </c>
      <c r="E34" s="4">
        <v>16</v>
      </c>
      <c r="F34" s="4">
        <v>82</v>
      </c>
      <c r="G34" s="4">
        <v>55</v>
      </c>
    </row>
    <row r="35" spans="2:7" ht="18.75" x14ac:dyDescent="0.25">
      <c r="B35" s="8" t="s">
        <v>118</v>
      </c>
      <c r="C35" s="4">
        <f>C27/C34</f>
        <v>2600.7191304347821</v>
      </c>
      <c r="D35" s="4">
        <f t="shared" ref="D35:G35" si="11">D27/D34</f>
        <v>3419.9884999999995</v>
      </c>
      <c r="E35" s="4">
        <f t="shared" si="11"/>
        <v>8235.8149999999987</v>
      </c>
      <c r="F35" s="4">
        <f t="shared" si="11"/>
        <v>1527.1889024390243</v>
      </c>
      <c r="G35" s="4">
        <f t="shared" si="11"/>
        <v>2727.3790909090899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F1AA-2906-4E37-A25C-4297D772EF77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90110.77</v>
      </c>
      <c r="D6" s="16">
        <f>'Income Statement'!D11</f>
        <v>130693.29</v>
      </c>
      <c r="E6" s="16">
        <f>'Income Statement'!E11</f>
        <v>121896.01</v>
      </c>
      <c r="F6" s="16">
        <f>'Income Statement'!F11</f>
        <v>78778.039999999994</v>
      </c>
      <c r="G6" s="16">
        <f>'Income Statement'!G11</f>
        <v>163541.19</v>
      </c>
    </row>
    <row r="7" spans="2:7" ht="18.75" x14ac:dyDescent="0.25">
      <c r="B7" s="15" t="str">
        <f>'Balance Sheet'!B19</f>
        <v>Total Current Liabilities</v>
      </c>
      <c r="C7" s="16">
        <f>'Balance Sheet'!C19</f>
        <v>39312.69</v>
      </c>
      <c r="D7" s="16">
        <f>'Balance Sheet'!D19</f>
        <v>46389.08</v>
      </c>
      <c r="E7" s="16">
        <f>'Balance Sheet'!E19</f>
        <v>50271.93</v>
      </c>
      <c r="F7" s="16">
        <f>'Balance Sheet'!F19</f>
        <v>62529.440000000002</v>
      </c>
      <c r="G7" s="16">
        <f>'Balance Sheet'!G19</f>
        <v>73314.61</v>
      </c>
    </row>
    <row r="8" spans="2:7" ht="18.75" x14ac:dyDescent="0.25">
      <c r="B8" s="17" t="s">
        <v>194</v>
      </c>
      <c r="C8" s="17">
        <f>ROUND(365/C6*C7, 2)</f>
        <v>159.24</v>
      </c>
      <c r="D8" s="17">
        <f t="shared" ref="D8:G8" si="0">ROUND(365/D6*D7, 2)</f>
        <v>129.56</v>
      </c>
      <c r="E8" s="17">
        <f t="shared" si="0"/>
        <v>150.53</v>
      </c>
      <c r="F8" s="17">
        <f t="shared" si="0"/>
        <v>289.72000000000003</v>
      </c>
      <c r="G8" s="17">
        <f t="shared" si="0"/>
        <v>163.63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531CE-B96A-4B40-BC9C-B9B6C384B2F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Sheet'!B37</f>
        <v>Trade Receivables</v>
      </c>
      <c r="C7" s="16">
        <f>'Balance Sheet'!C37</f>
        <v>5209.28</v>
      </c>
      <c r="D7" s="16">
        <f>'Balance Sheet'!D37</f>
        <v>6906.25</v>
      </c>
      <c r="E7" s="16">
        <f>'Balance Sheet'!E37</f>
        <v>5378.02</v>
      </c>
      <c r="F7" s="16">
        <f>'Balance Sheet'!F37</f>
        <v>7834.77</v>
      </c>
      <c r="G7" s="16">
        <f>'Balance Sheet'!G37</f>
        <v>9707.4699999999993</v>
      </c>
    </row>
    <row r="8" spans="2:7" ht="18.75" x14ac:dyDescent="0.25">
      <c r="B8" s="17" t="s">
        <v>196</v>
      </c>
      <c r="C8" s="17">
        <f>ROUND(365/C6*C7, 2)</f>
        <v>6.83</v>
      </c>
      <c r="D8" s="17">
        <f t="shared" ref="D8:G8" si="0">ROUND(365/D6*D7, 2)</f>
        <v>7.42</v>
      </c>
      <c r="E8" s="17">
        <f t="shared" si="0"/>
        <v>5.97</v>
      </c>
      <c r="F8" s="17">
        <f t="shared" si="0"/>
        <v>9.43</v>
      </c>
      <c r="G8" s="17">
        <f t="shared" si="0"/>
        <v>8.19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7C13B-F7A0-48B8-9069-60C1F2DFBE3F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Sheet'!B36</f>
        <v>Inventories</v>
      </c>
      <c r="C7" s="16">
        <f>'Balance Sheet'!C36</f>
        <v>22530.94</v>
      </c>
      <c r="D7" s="16">
        <f>'Balance Sheet'!D36</f>
        <v>22934.87</v>
      </c>
      <c r="E7" s="16">
        <f>'Balance Sheet'!E36</f>
        <v>22242.6</v>
      </c>
      <c r="F7" s="16">
        <f>'Balance Sheet'!F36</f>
        <v>26706.02</v>
      </c>
      <c r="G7" s="16">
        <f>'Balance Sheet'!G36</f>
        <v>42178.74</v>
      </c>
    </row>
    <row r="8" spans="2:7" ht="18.75" x14ac:dyDescent="0.25">
      <c r="B8" s="15" t="s">
        <v>192</v>
      </c>
      <c r="C8" s="16">
        <f>ROUND(365/C6*C7, 2)</f>
        <v>29.52</v>
      </c>
      <c r="D8" s="16">
        <f t="shared" ref="D8:G8" si="0">ROUND(365/D6*D7, 2)</f>
        <v>24.65</v>
      </c>
      <c r="E8" s="16">
        <f t="shared" si="0"/>
        <v>24.71</v>
      </c>
      <c r="F8" s="16">
        <f t="shared" si="0"/>
        <v>32.15</v>
      </c>
      <c r="G8" s="16">
        <f t="shared" si="0"/>
        <v>35.590000000000003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90110.77</v>
      </c>
      <c r="D9" s="16">
        <f>'Income Statement'!D11</f>
        <v>130693.29</v>
      </c>
      <c r="E9" s="16">
        <f>'Income Statement'!E11</f>
        <v>121896.01</v>
      </c>
      <c r="F9" s="16">
        <f>'Income Statement'!F11</f>
        <v>78778.039999999994</v>
      </c>
      <c r="G9" s="16">
        <f>'Income Statement'!G11</f>
        <v>163541.19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39312.69</v>
      </c>
      <c r="D10" s="16">
        <f>'Balance Sheet'!D19</f>
        <v>46389.08</v>
      </c>
      <c r="E10" s="16">
        <f>'Balance Sheet'!E19</f>
        <v>50271.93</v>
      </c>
      <c r="F10" s="16">
        <f>'Balance Sheet'!F19</f>
        <v>62529.440000000002</v>
      </c>
      <c r="G10" s="16">
        <f>'Balance Sheet'!G19</f>
        <v>73314.61</v>
      </c>
    </row>
    <row r="11" spans="2:7" ht="18.75" x14ac:dyDescent="0.25">
      <c r="B11" s="15" t="s">
        <v>194</v>
      </c>
      <c r="C11" s="16">
        <f>ROUND(365/C9*C10, 2)</f>
        <v>159.24</v>
      </c>
      <c r="D11" s="16">
        <f t="shared" ref="D11:G11" si="1">ROUND(365/D9*D10, 2)</f>
        <v>129.56</v>
      </c>
      <c r="E11" s="16">
        <f t="shared" si="1"/>
        <v>150.53</v>
      </c>
      <c r="F11" s="16">
        <f t="shared" si="1"/>
        <v>289.72000000000003</v>
      </c>
      <c r="G11" s="16">
        <f t="shared" si="1"/>
        <v>163.63</v>
      </c>
    </row>
    <row r="12" spans="2:7" ht="18.75" x14ac:dyDescent="0.25">
      <c r="B12" s="17" t="s">
        <v>198</v>
      </c>
      <c r="C12" s="28">
        <f>ROUND(C11+C8, 2)</f>
        <v>188.76</v>
      </c>
      <c r="D12" s="28">
        <f t="shared" ref="D12:G12" si="2">ROUND(D11+D8, 2)</f>
        <v>154.21</v>
      </c>
      <c r="E12" s="28">
        <f t="shared" si="2"/>
        <v>175.24</v>
      </c>
      <c r="F12" s="28">
        <f t="shared" si="2"/>
        <v>321.87</v>
      </c>
      <c r="G12" s="28">
        <f t="shared" si="2"/>
        <v>199.22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38FB7-469C-45E8-9FF5-7065FD2F08AE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278567.11</v>
      </c>
      <c r="D6" s="16">
        <f>'Income Statement'!D5</f>
        <v>339639</v>
      </c>
      <c r="E6" s="16">
        <f>'Income Statement'!E5</f>
        <v>328608.96999999997</v>
      </c>
      <c r="F6" s="16">
        <f>'Income Statement'!F5</f>
        <v>303229.69</v>
      </c>
      <c r="G6" s="16">
        <f>'Income Statement'!G5</f>
        <v>432569.62</v>
      </c>
    </row>
    <row r="7" spans="2:7" ht="18.75" x14ac:dyDescent="0.25">
      <c r="B7" s="15" t="str">
        <f>'Balance Sheet'!B36</f>
        <v>Inventories</v>
      </c>
      <c r="C7" s="16">
        <f>'Balance Sheet'!C36</f>
        <v>22530.94</v>
      </c>
      <c r="D7" s="16">
        <f>'Balance Sheet'!D36</f>
        <v>22934.87</v>
      </c>
      <c r="E7" s="16">
        <f>'Balance Sheet'!E36</f>
        <v>22242.6</v>
      </c>
      <c r="F7" s="16">
        <f>'Balance Sheet'!F36</f>
        <v>26706.02</v>
      </c>
      <c r="G7" s="16">
        <f>'Balance Sheet'!G36</f>
        <v>42178.74</v>
      </c>
    </row>
    <row r="8" spans="2:7" ht="18.75" x14ac:dyDescent="0.25">
      <c r="B8" s="15" t="s">
        <v>192</v>
      </c>
      <c r="C8" s="16">
        <f>ROUND(365/C6*C7, 2)</f>
        <v>29.52</v>
      </c>
      <c r="D8" s="16">
        <f t="shared" ref="D8:G8" si="0">ROUND(365/D6*D7, 2)</f>
        <v>24.65</v>
      </c>
      <c r="E8" s="16">
        <f t="shared" si="0"/>
        <v>24.71</v>
      </c>
      <c r="F8" s="16">
        <f t="shared" si="0"/>
        <v>32.15</v>
      </c>
      <c r="G8" s="16">
        <f t="shared" si="0"/>
        <v>35.590000000000003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90110.77</v>
      </c>
      <c r="D9" s="16">
        <f>'Income Statement'!D11</f>
        <v>130693.29</v>
      </c>
      <c r="E9" s="16">
        <f>'Income Statement'!E11</f>
        <v>121896.01</v>
      </c>
      <c r="F9" s="16">
        <f>'Income Statement'!F11</f>
        <v>78778.039999999994</v>
      </c>
      <c r="G9" s="16">
        <f>'Income Statement'!G11</f>
        <v>163541.19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39312.69</v>
      </c>
      <c r="D10" s="16">
        <f>'Balance Sheet'!D19</f>
        <v>46389.08</v>
      </c>
      <c r="E10" s="16">
        <f>'Balance Sheet'!E19</f>
        <v>50271.93</v>
      </c>
      <c r="F10" s="16">
        <f>'Balance Sheet'!F19</f>
        <v>62529.440000000002</v>
      </c>
      <c r="G10" s="16">
        <f>'Balance Sheet'!G19</f>
        <v>73314.61</v>
      </c>
    </row>
    <row r="11" spans="2:7" ht="18.75" x14ac:dyDescent="0.25">
      <c r="B11" s="15" t="s">
        <v>194</v>
      </c>
      <c r="C11" s="16">
        <f>ROUND(365/C9*C10, 2)</f>
        <v>159.24</v>
      </c>
      <c r="D11" s="16">
        <f t="shared" ref="D11:G11" si="1">ROUND(365/D9*D10, 2)</f>
        <v>129.56</v>
      </c>
      <c r="E11" s="16">
        <f t="shared" si="1"/>
        <v>150.53</v>
      </c>
      <c r="F11" s="16">
        <f t="shared" si="1"/>
        <v>289.72000000000003</v>
      </c>
      <c r="G11" s="16">
        <f t="shared" si="1"/>
        <v>163.63</v>
      </c>
    </row>
    <row r="12" spans="2:7" ht="18.75" x14ac:dyDescent="0.25">
      <c r="B12" s="15" t="s">
        <v>200</v>
      </c>
      <c r="C12" s="16">
        <f>ROUND(C11+C8, 2)</f>
        <v>188.76</v>
      </c>
      <c r="D12" s="16">
        <f t="shared" ref="D12:G12" si="2">ROUND(D11+D8, 2)</f>
        <v>154.21</v>
      </c>
      <c r="E12" s="16">
        <f t="shared" si="2"/>
        <v>175.24</v>
      </c>
      <c r="F12" s="16">
        <f t="shared" si="2"/>
        <v>321.87</v>
      </c>
      <c r="G12" s="16">
        <f t="shared" si="2"/>
        <v>199.22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90110.77</v>
      </c>
      <c r="D13" s="16">
        <f>'Income Statement'!D11</f>
        <v>130693.29</v>
      </c>
      <c r="E13" s="16">
        <f>'Income Statement'!E11</f>
        <v>121896.01</v>
      </c>
      <c r="F13" s="16">
        <f>'Income Statement'!F11</f>
        <v>78778.039999999994</v>
      </c>
      <c r="G13" s="16">
        <f>'Income Statement'!G11</f>
        <v>163541.19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39312.69</v>
      </c>
      <c r="D14" s="16">
        <f>'Balance Sheet'!D19</f>
        <v>46389.08</v>
      </c>
      <c r="E14" s="16">
        <f>'Balance Sheet'!E19</f>
        <v>50271.93</v>
      </c>
      <c r="F14" s="16">
        <f>'Balance Sheet'!F19</f>
        <v>62529.440000000002</v>
      </c>
      <c r="G14" s="16">
        <f>'Balance Sheet'!G19</f>
        <v>73314.61</v>
      </c>
    </row>
    <row r="15" spans="2:7" ht="18.75" x14ac:dyDescent="0.25">
      <c r="B15" s="15" t="s">
        <v>194</v>
      </c>
      <c r="C15" s="16">
        <f>ROUND(365/C13*C14, 2)</f>
        <v>159.24</v>
      </c>
      <c r="D15" s="16">
        <f t="shared" ref="D15:G15" si="3">ROUND(365/D13*D14, 2)</f>
        <v>129.56</v>
      </c>
      <c r="E15" s="16">
        <f t="shared" si="3"/>
        <v>150.53</v>
      </c>
      <c r="F15" s="16">
        <f t="shared" si="3"/>
        <v>289.72000000000003</v>
      </c>
      <c r="G15" s="16">
        <f t="shared" si="3"/>
        <v>163.63</v>
      </c>
    </row>
    <row r="16" spans="2:7" ht="18.75" x14ac:dyDescent="0.25">
      <c r="B16" s="17" t="s">
        <v>201</v>
      </c>
      <c r="C16" s="28">
        <f>ROUND(C15-C12, 2)</f>
        <v>-29.52</v>
      </c>
      <c r="D16" s="28">
        <f t="shared" ref="D16:G16" si="4">ROUND(D15-D12, 2)</f>
        <v>-24.65</v>
      </c>
      <c r="E16" s="28">
        <f t="shared" si="4"/>
        <v>-24.71</v>
      </c>
      <c r="F16" s="28">
        <f t="shared" si="4"/>
        <v>-32.15</v>
      </c>
      <c r="G16" s="28">
        <f t="shared" si="4"/>
        <v>-35.590000000000003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D834F2-D86D-44DE-823E-319588CE90A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36618.57</v>
      </c>
      <c r="D5" s="16">
        <f>'Balance Sheet'!D9</f>
        <v>169075.95999999996</v>
      </c>
      <c r="E5" s="16">
        <f>'Balance Sheet'!E9</f>
        <v>294938.91999999993</v>
      </c>
      <c r="F5" s="16">
        <f>'Balance Sheet'!F9</f>
        <v>415738.99999999988</v>
      </c>
      <c r="G5" s="16">
        <f>'Balance Sheet'!G9</f>
        <v>565781.38999999978</v>
      </c>
    </row>
    <row r="6" spans="2:7" ht="18.75" x14ac:dyDescent="0.25">
      <c r="B6" s="15" t="str">
        <f>'Balance Sheet'!B21</f>
        <v>Total Liabilities</v>
      </c>
      <c r="C6" s="16">
        <f>'Balance Sheet'!C21</f>
        <v>120356.06</v>
      </c>
      <c r="D6" s="16">
        <f>'Balance Sheet'!D21</f>
        <v>267241.61999999994</v>
      </c>
      <c r="E6" s="16">
        <f>'Balance Sheet'!E21</f>
        <v>409270.13999999996</v>
      </c>
      <c r="F6" s="16">
        <f>'Balance Sheet'!F21</f>
        <v>523175.9499999999</v>
      </c>
      <c r="G6" s="16">
        <f>'Balance Sheet'!G21</f>
        <v>701404.39999999979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B63CA-5A32-4950-B054-3238DB4B442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128085.42999999998</v>
      </c>
      <c r="D5" s="16">
        <f>'Income Statement'!D17</f>
        <v>146358.77999999997</v>
      </c>
      <c r="E5" s="16">
        <f>'Income Statement'!E17</f>
        <v>139786.28</v>
      </c>
      <c r="F5" s="16">
        <f>'Income Statement'!F17</f>
        <v>131133.54</v>
      </c>
      <c r="G5" s="16">
        <f>'Income Statement'!G17</f>
        <v>161265.91999999998</v>
      </c>
    </row>
    <row r="6" spans="2:7" ht="18.75" x14ac:dyDescent="0.25">
      <c r="B6" s="15" t="str">
        <f>'Income Statement'!B19</f>
        <v>PBIT</v>
      </c>
      <c r="C6" s="16">
        <f>'Income Statement'!C19</f>
        <v>125200.42999999998</v>
      </c>
      <c r="D6" s="16">
        <f>'Income Statement'!D19</f>
        <v>142941.00999999998</v>
      </c>
      <c r="E6" s="16">
        <f>'Income Statement'!E19</f>
        <v>135706.19</v>
      </c>
      <c r="F6" s="16">
        <f>'Income Statement'!F19</f>
        <v>126799.33</v>
      </c>
      <c r="G6" s="16">
        <f>'Income Statement'!G19</f>
        <v>155831.56999999998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8937E-E15F-4664-9510-8BD87FB2475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41217.449999999997</v>
      </c>
      <c r="D5" s="16">
        <f>'Balance Sheet'!D39</f>
        <v>189144.73999999993</v>
      </c>
      <c r="E5" s="16">
        <f>'Balance Sheet'!E39</f>
        <v>319616.40999999992</v>
      </c>
      <c r="F5" s="16">
        <f>'Balance Sheet'!F39</f>
        <v>436496.55999999994</v>
      </c>
      <c r="G5" s="16">
        <f>'Balance Sheet'!G39</f>
        <v>596924.48999999987</v>
      </c>
    </row>
    <row r="6" spans="2:7" ht="18.75" x14ac:dyDescent="0.25">
      <c r="B6" s="15" t="str">
        <f>'Balance Sheet'!B19</f>
        <v>Total Current Liabilities</v>
      </c>
      <c r="C6" s="16">
        <f>'Balance Sheet'!C19</f>
        <v>39312.69</v>
      </c>
      <c r="D6" s="16">
        <f>'Balance Sheet'!D19</f>
        <v>46389.08</v>
      </c>
      <c r="E6" s="16">
        <f>'Balance Sheet'!E19</f>
        <v>50271.93</v>
      </c>
      <c r="F6" s="16">
        <f>'Balance Sheet'!F19</f>
        <v>62529.440000000002</v>
      </c>
      <c r="G6" s="16">
        <f>'Balance Sheet'!G19</f>
        <v>73314.61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BFAE9-6A38-4C34-8D70-D37B676DF28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1393.36</v>
      </c>
      <c r="D5" s="16">
        <f>'Balance Sheet'!D14</f>
        <v>1537.63</v>
      </c>
      <c r="E5" s="16">
        <f>'Balance Sheet'!E14</f>
        <v>1595.99</v>
      </c>
      <c r="F5" s="16">
        <f>'Balance Sheet'!F14</f>
        <v>1608.89</v>
      </c>
      <c r="G5" s="16">
        <f>'Balance Sheet'!G14</f>
        <v>234.29</v>
      </c>
    </row>
    <row r="6" spans="2:7" ht="18.75" x14ac:dyDescent="0.25">
      <c r="B6" s="15" t="str">
        <f>'Balance Sheet'!B15</f>
        <v>Short Term Provisions</v>
      </c>
      <c r="C6" s="16">
        <f>'Balance Sheet'!C15</f>
        <v>1809.52</v>
      </c>
      <c r="D6" s="16">
        <f>'Balance Sheet'!D15</f>
        <v>2028.58</v>
      </c>
      <c r="E6" s="16">
        <f>'Balance Sheet'!E15</f>
        <v>2039.39</v>
      </c>
      <c r="F6" s="16">
        <f>'Balance Sheet'!F15</f>
        <v>1950.28</v>
      </c>
      <c r="G6" s="16">
        <f>'Balance Sheet'!G15</f>
        <v>2925.39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A5C29-D002-400F-BF06-123C7F63DA6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90110.77</v>
      </c>
      <c r="D5" s="16">
        <f>'Income Statement'!D11</f>
        <v>130693.29</v>
      </c>
      <c r="E5" s="16">
        <f>'Income Statement'!E11</f>
        <v>121896.01</v>
      </c>
      <c r="F5" s="16">
        <f>'Income Statement'!F11</f>
        <v>78778.039999999994</v>
      </c>
      <c r="G5" s="16">
        <f>'Income Statement'!G11</f>
        <v>163541.19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1354-D79B-491B-B34A-8481D02A760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278567.11</v>
      </c>
      <c r="D5" s="16">
        <f>'Income Statement'!D5</f>
        <v>339639</v>
      </c>
      <c r="E5" s="16">
        <f>'Income Statement'!E5</f>
        <v>328608.96999999997</v>
      </c>
      <c r="F5" s="16">
        <f>'Income Statement'!F5</f>
        <v>303229.69</v>
      </c>
      <c r="G5" s="16">
        <f>'Income Statement'!G5</f>
        <v>432569.62</v>
      </c>
    </row>
    <row r="6" spans="2:7" ht="18.75" x14ac:dyDescent="0.25">
      <c r="B6" s="15" t="str">
        <f>'Income Statement'!B10</f>
        <v>Total Income</v>
      </c>
      <c r="C6" s="16">
        <f>'Income Statement'!C10</f>
        <v>236698.62999999998</v>
      </c>
      <c r="D6" s="16">
        <f>'Income Statement'!D10</f>
        <v>299022.98</v>
      </c>
      <c r="E6" s="16">
        <f>'Income Statement'!E10</f>
        <v>285313.03999999998</v>
      </c>
      <c r="F6" s="16">
        <f>'Income Statement'!F10</f>
        <v>231379.08000000002</v>
      </c>
      <c r="G6" s="16">
        <f>'Income Statement'!G10</f>
        <v>349059.62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505B8-723E-417F-92E6-C6E9DF021F88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1966.88</v>
      </c>
      <c r="D5" s="5">
        <v>1966.88</v>
      </c>
      <c r="E5" s="5">
        <v>1966.89</v>
      </c>
      <c r="F5" s="5">
        <v>2092.91</v>
      </c>
      <c r="G5" s="5">
        <v>2129.4499999999998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1966.88</v>
      </c>
      <c r="D7" s="7">
        <f t="shared" ref="D7:G7" si="0">D5+D6</f>
        <v>1966.88</v>
      </c>
      <c r="E7" s="7">
        <f t="shared" si="0"/>
        <v>1966.89</v>
      </c>
      <c r="F7" s="7">
        <f t="shared" si="0"/>
        <v>2092.91</v>
      </c>
      <c r="G7" s="7">
        <f t="shared" si="0"/>
        <v>2129.4499999999998</v>
      </c>
    </row>
    <row r="8" spans="2:7" ht="18.75" x14ac:dyDescent="0.25">
      <c r="B8" s="8" t="s">
        <v>7</v>
      </c>
      <c r="C8" s="5">
        <v>34651.69</v>
      </c>
      <c r="D8" s="5">
        <f>'Income Statement'!D30+C8</f>
        <v>167109.07999999996</v>
      </c>
      <c r="E8" s="5">
        <f>'Income Statement'!E30+D8</f>
        <v>292972.02999999991</v>
      </c>
      <c r="F8" s="5">
        <f>'Income Statement'!F30+E8</f>
        <v>413646.08999999991</v>
      </c>
      <c r="G8" s="5">
        <f>'Income Statement'!G30+F8</f>
        <v>563651.93999999983</v>
      </c>
    </row>
    <row r="9" spans="2:7" ht="18.75" x14ac:dyDescent="0.25">
      <c r="B9" s="9" t="s">
        <v>122</v>
      </c>
      <c r="C9" s="7">
        <f>C7+C8</f>
        <v>36618.57</v>
      </c>
      <c r="D9" s="7">
        <f t="shared" ref="D9:G9" si="1">D7+D8</f>
        <v>169075.95999999996</v>
      </c>
      <c r="E9" s="7">
        <f t="shared" si="1"/>
        <v>294938.91999999993</v>
      </c>
      <c r="F9" s="7">
        <f t="shared" si="1"/>
        <v>415738.99999999988</v>
      </c>
      <c r="G9" s="7">
        <f t="shared" si="1"/>
        <v>565781.38999999978</v>
      </c>
    </row>
    <row r="10" spans="2:7" ht="18.75" x14ac:dyDescent="0.25">
      <c r="B10" s="8" t="s">
        <v>12</v>
      </c>
      <c r="C10" s="5">
        <v>28904.28</v>
      </c>
      <c r="D10" s="5">
        <v>34315.58</v>
      </c>
      <c r="E10" s="5">
        <v>38043.89</v>
      </c>
      <c r="F10" s="5">
        <v>35740.22</v>
      </c>
      <c r="G10" s="5">
        <v>36358.93</v>
      </c>
    </row>
    <row r="11" spans="2:7" ht="18.75" x14ac:dyDescent="0.25">
      <c r="B11" s="8" t="s">
        <v>13</v>
      </c>
      <c r="C11" s="5">
        <v>5522.4</v>
      </c>
      <c r="D11" s="5">
        <v>6792.01</v>
      </c>
      <c r="E11" s="5">
        <v>6163.92</v>
      </c>
      <c r="F11" s="5">
        <v>4934.4799999999996</v>
      </c>
      <c r="G11" s="5">
        <v>6375.72</v>
      </c>
    </row>
    <row r="12" spans="2:7" ht="18.75" x14ac:dyDescent="0.25">
      <c r="B12" s="8" t="s">
        <v>18</v>
      </c>
      <c r="C12" s="5">
        <v>8093.03</v>
      </c>
      <c r="D12" s="5">
        <v>8598.9500000000007</v>
      </c>
      <c r="E12" s="5">
        <v>17795.150000000001</v>
      </c>
      <c r="F12" s="5">
        <v>4232.8100000000004</v>
      </c>
      <c r="G12" s="5">
        <v>19573.75</v>
      </c>
    </row>
    <row r="13" spans="2:7" ht="18.75" x14ac:dyDescent="0.25">
      <c r="B13" s="9" t="s">
        <v>123</v>
      </c>
      <c r="C13" s="7">
        <f>C10+C11+C12</f>
        <v>42519.71</v>
      </c>
      <c r="D13" s="7">
        <f t="shared" ref="D13:G13" si="2">D10+D11+D12</f>
        <v>49706.540000000008</v>
      </c>
      <c r="E13" s="7">
        <f t="shared" si="2"/>
        <v>62002.96</v>
      </c>
      <c r="F13" s="7">
        <f t="shared" si="2"/>
        <v>44907.509999999995</v>
      </c>
      <c r="G13" s="7">
        <f t="shared" si="2"/>
        <v>62308.4</v>
      </c>
    </row>
    <row r="14" spans="2:7" ht="18.75" x14ac:dyDescent="0.25">
      <c r="B14" s="8" t="s">
        <v>15</v>
      </c>
      <c r="C14" s="4">
        <v>1393.36</v>
      </c>
      <c r="D14" s="5">
        <v>1537.63</v>
      </c>
      <c r="E14" s="5">
        <v>1595.99</v>
      </c>
      <c r="F14" s="5">
        <v>1608.89</v>
      </c>
      <c r="G14" s="5">
        <v>234.29</v>
      </c>
    </row>
    <row r="15" spans="2:7" ht="18.75" x14ac:dyDescent="0.25">
      <c r="B15" s="8" t="s">
        <v>21</v>
      </c>
      <c r="C15" s="5">
        <v>1809.52</v>
      </c>
      <c r="D15" s="5">
        <v>2028.58</v>
      </c>
      <c r="E15" s="5">
        <v>2039.39</v>
      </c>
      <c r="F15" s="5">
        <v>1950.28</v>
      </c>
      <c r="G15" s="5">
        <v>2925.39</v>
      </c>
    </row>
    <row r="16" spans="2:7" ht="18.75" x14ac:dyDescent="0.25">
      <c r="B16" s="8" t="s">
        <v>14</v>
      </c>
      <c r="C16" s="5">
        <v>202.2</v>
      </c>
      <c r="D16" s="5">
        <v>340.68</v>
      </c>
      <c r="E16" s="5">
        <v>6249.59</v>
      </c>
      <c r="F16" s="4">
        <v>8222.98</v>
      </c>
      <c r="G16" s="4">
        <v>9585.6</v>
      </c>
    </row>
    <row r="17" spans="2:7" ht="18.75" x14ac:dyDescent="0.25">
      <c r="B17" s="8" t="s">
        <v>19</v>
      </c>
      <c r="C17" s="5">
        <v>15198.21</v>
      </c>
      <c r="D17" s="5">
        <v>17384.73</v>
      </c>
      <c r="E17" s="5">
        <v>13107.21</v>
      </c>
      <c r="F17" s="5">
        <v>16262.67</v>
      </c>
      <c r="G17" s="5">
        <v>30347.72</v>
      </c>
    </row>
    <row r="18" spans="2:7" ht="18.75" x14ac:dyDescent="0.25">
      <c r="B18" s="8" t="s">
        <v>20</v>
      </c>
      <c r="C18" s="5">
        <v>20709.400000000001</v>
      </c>
      <c r="D18" s="5">
        <v>25097.46</v>
      </c>
      <c r="E18" s="5">
        <v>27279.75</v>
      </c>
      <c r="F18" s="5">
        <v>34484.620000000003</v>
      </c>
      <c r="G18" s="5">
        <v>30221.61</v>
      </c>
    </row>
    <row r="19" spans="2:7" ht="18.75" x14ac:dyDescent="0.25">
      <c r="B19" s="9" t="s">
        <v>22</v>
      </c>
      <c r="C19" s="7">
        <f>C14+C15+C16+C17+C18</f>
        <v>39312.69</v>
      </c>
      <c r="D19" s="7">
        <f t="shared" ref="D19:G19" si="3">D14+D15+D16+D17+D18</f>
        <v>46389.08</v>
      </c>
      <c r="E19" s="7">
        <f t="shared" si="3"/>
        <v>50271.93</v>
      </c>
      <c r="F19" s="7">
        <f t="shared" si="3"/>
        <v>62529.440000000002</v>
      </c>
      <c r="G19" s="7">
        <f t="shared" si="3"/>
        <v>73314.61</v>
      </c>
    </row>
    <row r="20" spans="2:7" ht="18.75" x14ac:dyDescent="0.25">
      <c r="B20" s="8" t="s">
        <v>10</v>
      </c>
      <c r="C20" s="4">
        <v>1905.09</v>
      </c>
      <c r="D20" s="4">
        <v>2070.04</v>
      </c>
      <c r="E20" s="5">
        <v>2056.33</v>
      </c>
      <c r="F20" s="5">
        <v>0</v>
      </c>
      <c r="G20" s="5">
        <v>0</v>
      </c>
    </row>
    <row r="21" spans="2:7" ht="18.75" x14ac:dyDescent="0.25">
      <c r="B21" s="9" t="s">
        <v>124</v>
      </c>
      <c r="C21" s="7">
        <f>C9+C13+C19+C20</f>
        <v>120356.06</v>
      </c>
      <c r="D21" s="7">
        <f t="shared" ref="D21:G21" si="4">D9+D13+D19+D20</f>
        <v>267241.61999999994</v>
      </c>
      <c r="E21" s="7">
        <f t="shared" si="4"/>
        <v>409270.13999999996</v>
      </c>
      <c r="F21" s="7">
        <f t="shared" si="4"/>
        <v>523175.9499999999</v>
      </c>
      <c r="G21" s="7">
        <f t="shared" si="4"/>
        <v>701404.39999999979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45260.94</v>
      </c>
      <c r="D23" s="5">
        <v>48971.28</v>
      </c>
      <c r="E23" s="5">
        <v>59793.97</v>
      </c>
      <c r="F23" s="5">
        <v>63588.89</v>
      </c>
      <c r="G23" s="5">
        <v>98130.43</v>
      </c>
    </row>
    <row r="24" spans="2:7" ht="18.75" x14ac:dyDescent="0.25">
      <c r="B24" s="8" t="s">
        <v>27</v>
      </c>
      <c r="C24" s="4">
        <v>278.36</v>
      </c>
      <c r="D24" s="4">
        <v>343.56</v>
      </c>
      <c r="E24" s="4">
        <v>380.6</v>
      </c>
      <c r="F24" s="4">
        <v>509.42</v>
      </c>
      <c r="G24" s="4">
        <v>0</v>
      </c>
    </row>
    <row r="25" spans="2:7" ht="18.75" x14ac:dyDescent="0.25">
      <c r="B25" s="8" t="s">
        <v>125</v>
      </c>
      <c r="C25" s="4"/>
      <c r="D25" s="5">
        <f>'Income Statement'!D18</f>
        <v>3417.77</v>
      </c>
      <c r="E25" s="5">
        <f>'Income Statement'!E18+D25</f>
        <v>7497.8600000000006</v>
      </c>
      <c r="F25" s="5">
        <f>'Income Statement'!F18+E25</f>
        <v>11832.07</v>
      </c>
      <c r="G25" s="5">
        <f>'Income Statement'!G18+F25</f>
        <v>17266.419999999998</v>
      </c>
    </row>
    <row r="26" spans="2:7" ht="18.75" x14ac:dyDescent="0.25">
      <c r="B26" s="9" t="s">
        <v>126</v>
      </c>
      <c r="C26" s="7">
        <f>C23+C24-C25</f>
        <v>45539.3</v>
      </c>
      <c r="D26" s="7">
        <f t="shared" ref="D26:G26" si="5">D23+D24-D25</f>
        <v>45897.07</v>
      </c>
      <c r="E26" s="7">
        <f t="shared" si="5"/>
        <v>52676.71</v>
      </c>
      <c r="F26" s="7">
        <f t="shared" si="5"/>
        <v>52266.239999999998</v>
      </c>
      <c r="G26" s="7">
        <f t="shared" si="5"/>
        <v>80864.009999999995</v>
      </c>
    </row>
    <row r="27" spans="2:7" ht="18.75" x14ac:dyDescent="0.25">
      <c r="B27" s="8" t="s">
        <v>30</v>
      </c>
      <c r="C27" s="5">
        <v>18275.29</v>
      </c>
      <c r="D27" s="5">
        <v>19107.82</v>
      </c>
      <c r="E27" s="5">
        <v>21819.97</v>
      </c>
      <c r="F27" s="5">
        <v>19973.46</v>
      </c>
      <c r="G27" s="5">
        <v>19173.63</v>
      </c>
    </row>
    <row r="28" spans="2:7" ht="18.75" x14ac:dyDescent="0.25">
      <c r="B28" s="8" t="s">
        <v>36</v>
      </c>
      <c r="C28" s="5">
        <v>5449.28</v>
      </c>
      <c r="D28" s="5">
        <v>5799.09</v>
      </c>
      <c r="E28" s="5">
        <v>5208.54</v>
      </c>
      <c r="F28" s="5">
        <v>6794.27</v>
      </c>
      <c r="G28" s="5">
        <v>4442.2700000000004</v>
      </c>
    </row>
    <row r="29" spans="2:7" ht="18.75" x14ac:dyDescent="0.25">
      <c r="B29" s="8" t="s">
        <v>28</v>
      </c>
      <c r="C29" s="4">
        <v>9874.7400000000016</v>
      </c>
      <c r="D29" s="5">
        <v>7292.9</v>
      </c>
      <c r="E29" s="5">
        <v>9948.51</v>
      </c>
      <c r="F29" s="5">
        <v>7645.42</v>
      </c>
      <c r="G29" s="5">
        <v>0</v>
      </c>
    </row>
    <row r="30" spans="2:7" ht="18.75" x14ac:dyDescent="0.25">
      <c r="B30" s="9" t="s">
        <v>127</v>
      </c>
      <c r="C30" s="7">
        <f>C26+C27+C28+C29</f>
        <v>79138.610000000015</v>
      </c>
      <c r="D30" s="7">
        <f t="shared" ref="D30:G30" si="6">D26+D27+D28+D29</f>
        <v>78096.87999999999</v>
      </c>
      <c r="E30" s="7">
        <f t="shared" si="6"/>
        <v>89653.729999999981</v>
      </c>
      <c r="F30" s="7">
        <f t="shared" si="6"/>
        <v>86679.39</v>
      </c>
      <c r="G30" s="7">
        <f t="shared" si="6"/>
        <v>104479.91</v>
      </c>
    </row>
    <row r="31" spans="2:7" ht="18.75" x14ac:dyDescent="0.25">
      <c r="B31" s="8" t="s">
        <v>31</v>
      </c>
      <c r="C31" s="4">
        <v>0</v>
      </c>
      <c r="D31" s="4">
        <v>4.2699999999999996</v>
      </c>
      <c r="E31" s="4">
        <v>3.58</v>
      </c>
      <c r="F31" s="4">
        <v>3.53</v>
      </c>
      <c r="G31" s="4">
        <v>0</v>
      </c>
    </row>
    <row r="32" spans="2:7" ht="18.75" x14ac:dyDescent="0.25">
      <c r="B32" s="8" t="s">
        <v>32</v>
      </c>
      <c r="C32" s="5">
        <v>4074.42</v>
      </c>
      <c r="D32" s="5">
        <v>3829.26</v>
      </c>
      <c r="E32" s="5">
        <v>4987.2700000000004</v>
      </c>
      <c r="F32" s="5">
        <v>5312</v>
      </c>
      <c r="G32" s="5">
        <v>3956.62</v>
      </c>
    </row>
    <row r="33" spans="2:7" ht="18.75" x14ac:dyDescent="0.25">
      <c r="B33" s="8" t="s">
        <v>33</v>
      </c>
      <c r="C33" s="5">
        <v>1990.8</v>
      </c>
      <c r="D33" s="5">
        <v>2238.11</v>
      </c>
      <c r="E33" s="5">
        <v>2869.68</v>
      </c>
      <c r="F33" s="5">
        <v>2482.17</v>
      </c>
      <c r="G33" s="5">
        <v>3064.61</v>
      </c>
    </row>
    <row r="34" spans="2:7" ht="18.75" x14ac:dyDescent="0.25">
      <c r="B34" s="8" t="s">
        <v>40</v>
      </c>
      <c r="C34" s="4">
        <v>270.42</v>
      </c>
      <c r="D34" s="4">
        <v>1684.67</v>
      </c>
      <c r="E34" s="4">
        <v>704.86</v>
      </c>
      <c r="F34" s="5">
        <v>138.06</v>
      </c>
      <c r="G34" s="4">
        <v>136</v>
      </c>
    </row>
    <row r="35" spans="2:7" ht="18.75" x14ac:dyDescent="0.25">
      <c r="B35" s="8" t="s">
        <v>41</v>
      </c>
      <c r="C35" s="5">
        <v>5787.73</v>
      </c>
      <c r="D35" s="5">
        <v>10794.19</v>
      </c>
      <c r="E35" s="5">
        <v>8552.89</v>
      </c>
      <c r="F35" s="5">
        <v>2399.2600000000002</v>
      </c>
      <c r="G35" s="5">
        <v>3298.19</v>
      </c>
    </row>
    <row r="36" spans="2:7" ht="18.75" x14ac:dyDescent="0.25">
      <c r="B36" s="8" t="s">
        <v>37</v>
      </c>
      <c r="C36" s="5">
        <v>22530.94</v>
      </c>
      <c r="D36" s="5">
        <v>22934.87</v>
      </c>
      <c r="E36" s="5">
        <v>22242.6</v>
      </c>
      <c r="F36" s="5">
        <v>26706.02</v>
      </c>
      <c r="G36" s="5">
        <v>42178.74</v>
      </c>
    </row>
    <row r="37" spans="2:7" ht="18.75" x14ac:dyDescent="0.25">
      <c r="B37" s="8" t="s">
        <v>38</v>
      </c>
      <c r="C37" s="5">
        <v>5209.28</v>
      </c>
      <c r="D37" s="5">
        <v>6906.25</v>
      </c>
      <c r="E37" s="5">
        <v>5378.02</v>
      </c>
      <c r="F37" s="5">
        <v>7834.77</v>
      </c>
      <c r="G37" s="5">
        <v>9707.4699999999993</v>
      </c>
    </row>
    <row r="38" spans="2:7" ht="18.75" x14ac:dyDescent="0.25">
      <c r="B38" s="8" t="s">
        <v>39</v>
      </c>
      <c r="C38" s="5">
        <v>1353.86</v>
      </c>
      <c r="D38" s="5">
        <f>'CashFlow Statement'!D48+C38</f>
        <v>140753.11999999994</v>
      </c>
      <c r="E38" s="5">
        <f>'CashFlow Statement'!E48+D38</f>
        <v>274877.50999999995</v>
      </c>
      <c r="F38" s="5">
        <f>'CashFlow Statement'!F48+E38</f>
        <v>391620.74999999994</v>
      </c>
      <c r="G38" s="5">
        <f>'CashFlow Statement'!G48+F38</f>
        <v>534582.85999999987</v>
      </c>
    </row>
    <row r="39" spans="2:7" ht="18.75" x14ac:dyDescent="0.25">
      <c r="B39" s="9" t="s">
        <v>42</v>
      </c>
      <c r="C39" s="7">
        <f>C31+C32+C33+C34+C35+C36+C37+C38</f>
        <v>41217.449999999997</v>
      </c>
      <c r="D39" s="7">
        <f t="shared" ref="D39:G39" si="7">D31+D32+D33+D34+D35+D36+D37+D38</f>
        <v>189144.73999999993</v>
      </c>
      <c r="E39" s="7">
        <f t="shared" si="7"/>
        <v>319616.40999999992</v>
      </c>
      <c r="F39" s="7">
        <f t="shared" si="7"/>
        <v>436496.55999999994</v>
      </c>
      <c r="G39" s="7">
        <f t="shared" si="7"/>
        <v>596924.48999999987</v>
      </c>
    </row>
    <row r="40" spans="2:7" ht="18.75" x14ac:dyDescent="0.25">
      <c r="B40" s="9" t="s">
        <v>43</v>
      </c>
      <c r="C40" s="7">
        <f>C30+C39</f>
        <v>120356.06000000001</v>
      </c>
      <c r="D40" s="7">
        <f t="shared" ref="D40:G40" si="8">D30+D39</f>
        <v>267241.61999999994</v>
      </c>
      <c r="E40" s="7">
        <f t="shared" si="8"/>
        <v>409270.1399999999</v>
      </c>
      <c r="F40" s="7">
        <f t="shared" si="8"/>
        <v>523175.94999999995</v>
      </c>
      <c r="G40" s="7">
        <f t="shared" si="8"/>
        <v>701404.39999999991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FD658-83C5-4DB1-BD00-EFE9D63A802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120356.06</v>
      </c>
      <c r="D5" s="16">
        <f>'Balance Sheet'!D21</f>
        <v>267241.61999999994</v>
      </c>
      <c r="E5" s="16">
        <f>'Balance Sheet'!E21</f>
        <v>409270.13999999996</v>
      </c>
      <c r="F5" s="16">
        <f>'Balance Sheet'!F21</f>
        <v>523175.9499999999</v>
      </c>
      <c r="G5" s="16">
        <f>'Balance Sheet'!G21</f>
        <v>701404.39999999979</v>
      </c>
    </row>
    <row r="6" spans="2:7" ht="18.75" x14ac:dyDescent="0.25">
      <c r="B6" s="15" t="str">
        <f>'Balance Sheet'!B13</f>
        <v>Total Debt</v>
      </c>
      <c r="C6" s="16">
        <f>'Balance Sheet'!C13</f>
        <v>42519.71</v>
      </c>
      <c r="D6" s="16">
        <f>'Balance Sheet'!D13</f>
        <v>49706.540000000008</v>
      </c>
      <c r="E6" s="16">
        <f>'Balance Sheet'!E13</f>
        <v>62002.96</v>
      </c>
      <c r="F6" s="16">
        <f>'Balance Sheet'!F13</f>
        <v>44907.509999999995</v>
      </c>
      <c r="G6" s="16">
        <f>'Balance Sheet'!G13</f>
        <v>62308.4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24B8-A2DE-4E9B-8200-62390957419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120356.06</v>
      </c>
      <c r="D5" s="16">
        <f>'Balance Sheet'!D21</f>
        <v>267241.61999999994</v>
      </c>
      <c r="E5" s="16">
        <f>'Balance Sheet'!E21</f>
        <v>409270.13999999996</v>
      </c>
      <c r="F5" s="16">
        <f>'Balance Sheet'!F21</f>
        <v>523175.9499999999</v>
      </c>
      <c r="G5" s="16">
        <f>'Balance Sheet'!G21</f>
        <v>701404.39999999979</v>
      </c>
    </row>
    <row r="6" spans="2:7" ht="18.75" x14ac:dyDescent="0.25">
      <c r="B6" s="15" t="str">
        <f>'Balance Sheet'!B19</f>
        <v>Total Current Liabilities</v>
      </c>
      <c r="C6" s="16">
        <f>'Balance Sheet'!C19</f>
        <v>39312.69</v>
      </c>
      <c r="D6" s="16">
        <f>'Balance Sheet'!D19</f>
        <v>46389.08</v>
      </c>
      <c r="E6" s="16">
        <f>'Balance Sheet'!E19</f>
        <v>50271.93</v>
      </c>
      <c r="F6" s="16">
        <f>'Balance Sheet'!F19</f>
        <v>62529.440000000002</v>
      </c>
      <c r="G6" s="16">
        <f>'Balance Sheet'!G19</f>
        <v>73314.61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A76B6-6B68-44C6-B2D3-FC26235255F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120356.06000000001</v>
      </c>
      <c r="D5" s="16">
        <f>'Balance Sheet'!D40</f>
        <v>267241.61999999994</v>
      </c>
      <c r="E5" s="16">
        <f>'Balance Sheet'!E40</f>
        <v>409270.1399999999</v>
      </c>
      <c r="F5" s="16">
        <f>'Balance Sheet'!F40</f>
        <v>523175.94999999995</v>
      </c>
      <c r="G5" s="16">
        <f>'Balance Sheet'!G40</f>
        <v>701404.39999999991</v>
      </c>
    </row>
    <row r="6" spans="2:7" ht="18.75" x14ac:dyDescent="0.25">
      <c r="B6" s="15" t="str">
        <f>'Balance Sheet'!B30</f>
        <v>Total Non Current Assets</v>
      </c>
      <c r="C6" s="16">
        <f>'Balance Sheet'!C30</f>
        <v>79138.610000000015</v>
      </c>
      <c r="D6" s="16">
        <f>'Balance Sheet'!D30</f>
        <v>78096.87999999999</v>
      </c>
      <c r="E6" s="16">
        <f>'Balance Sheet'!E30</f>
        <v>89653.729999999981</v>
      </c>
      <c r="F6" s="16">
        <f>'Balance Sheet'!F30</f>
        <v>86679.39</v>
      </c>
      <c r="G6" s="16">
        <f>'Balance Sheet'!G30</f>
        <v>104479.91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80A4E-49E8-4DA4-858B-89D371339F4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120356.06000000001</v>
      </c>
      <c r="D5" s="16">
        <f>'Balance Sheet'!D40</f>
        <v>267241.61999999994</v>
      </c>
      <c r="E5" s="16">
        <f>'Balance Sheet'!E40</f>
        <v>409270.1399999999</v>
      </c>
      <c r="F5" s="16">
        <f>'Balance Sheet'!F40</f>
        <v>523175.94999999995</v>
      </c>
      <c r="G5" s="16">
        <f>'Balance Sheet'!G40</f>
        <v>701404.39999999991</v>
      </c>
    </row>
    <row r="6" spans="2:7" ht="18.75" x14ac:dyDescent="0.25">
      <c r="B6" s="15" t="str">
        <f>'Balance Sheet'!B39</f>
        <v>Total Current Assets</v>
      </c>
      <c r="C6" s="16">
        <f>'Balance Sheet'!C39</f>
        <v>41217.449999999997</v>
      </c>
      <c r="D6" s="16">
        <f>'Balance Sheet'!D39</f>
        <v>189144.73999999993</v>
      </c>
      <c r="E6" s="16">
        <f>'Balance Sheet'!E39</f>
        <v>319616.40999999992</v>
      </c>
      <c r="F6" s="16">
        <f>'Balance Sheet'!F39</f>
        <v>436496.55999999994</v>
      </c>
      <c r="G6" s="16">
        <f>'Balance Sheet'!G39</f>
        <v>596924.48999999987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F90C-1D7D-4D9E-93F9-5C811107E6C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108613.2</v>
      </c>
      <c r="D5" s="16">
        <f>'Income Statement'!D15</f>
        <v>152664.20000000001</v>
      </c>
      <c r="E5" s="16">
        <f>'Income Statement'!E15</f>
        <v>145526.75999999998</v>
      </c>
      <c r="F5" s="16">
        <f>'Income Statement'!F15</f>
        <v>100245.54000000001</v>
      </c>
      <c r="G5" s="16">
        <f>'Income Statement'!G15</f>
        <v>187793.7</v>
      </c>
    </row>
    <row r="6" spans="2:7" ht="18.75" x14ac:dyDescent="0.25">
      <c r="B6" s="15" t="str">
        <f>'Income Statement'!B10</f>
        <v>Total Income</v>
      </c>
      <c r="C6" s="16">
        <f>'Income Statement'!C10</f>
        <v>236698.62999999998</v>
      </c>
      <c r="D6" s="16">
        <f>'Income Statement'!D10</f>
        <v>299022.98</v>
      </c>
      <c r="E6" s="16">
        <f>'Income Statement'!E10</f>
        <v>285313.03999999998</v>
      </c>
      <c r="F6" s="16">
        <f>'Income Statement'!F10</f>
        <v>231379.08000000002</v>
      </c>
      <c r="G6" s="16">
        <f>'Income Statement'!G10</f>
        <v>349059.62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E08ED-16A7-49CB-9EF4-2FB425031A94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116100.70999999998</v>
      </c>
      <c r="D5" s="16">
        <f>'Income Statement'!D30</f>
        <v>132457.38999999996</v>
      </c>
      <c r="E5" s="16">
        <f>'Income Statement'!E30</f>
        <v>125862.94999999998</v>
      </c>
      <c r="F5" s="16">
        <f>'Income Statement'!F30</f>
        <v>120674.06</v>
      </c>
      <c r="G5" s="16">
        <f>'Income Statement'!G30</f>
        <v>150005.84999999995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119633.07999999997</v>
      </c>
      <c r="D6" s="16">
        <f>'Income Statement'!D27</f>
        <v>136799.53999999998</v>
      </c>
      <c r="E6" s="16">
        <f>'Income Statement'!E27</f>
        <v>131773.03999999998</v>
      </c>
      <c r="F6" s="16">
        <f>'Income Statement'!F27</f>
        <v>125229.48999999999</v>
      </c>
      <c r="G6" s="16">
        <f>'Income Statement'!G27</f>
        <v>150005.84999999995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A7734C-4516-4BC4-BC9E-9F898E13C65C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7" width="17.1406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141177.05999999997</v>
      </c>
      <c r="E5" s="5">
        <f>'Income Statement'!E25</f>
        <v>131758.82999999999</v>
      </c>
      <c r="F5" s="5">
        <f>'Income Statement'!F25</f>
        <v>130341.68</v>
      </c>
      <c r="G5" s="5">
        <f>'Income Statement'!G25</f>
        <v>154361.07999999996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3417.77</v>
      </c>
      <c r="E7" s="5">
        <f>'Income Statement'!E18</f>
        <v>4080.09</v>
      </c>
      <c r="F7" s="5">
        <f>'Income Statement'!F18</f>
        <v>4334.21</v>
      </c>
      <c r="G7" s="5">
        <f>'Income Statement'!G18</f>
        <v>5434.35</v>
      </c>
    </row>
    <row r="8" spans="2:7" ht="18.75" x14ac:dyDescent="0.25">
      <c r="B8" s="8" t="s">
        <v>131</v>
      </c>
      <c r="C8" s="4"/>
      <c r="D8" s="5">
        <f>'Income Statement'!D20</f>
        <v>1763.95</v>
      </c>
      <c r="E8" s="5">
        <f>'Income Statement'!E20</f>
        <v>2637.01</v>
      </c>
      <c r="F8" s="5">
        <f>'Income Statement'!F20</f>
        <v>1723.41</v>
      </c>
      <c r="G8" s="5">
        <f>'Income Statement'!G20</f>
        <v>2605.64</v>
      </c>
    </row>
    <row r="9" spans="2:7" ht="18.75" x14ac:dyDescent="0.25">
      <c r="B9" s="8" t="s">
        <v>59</v>
      </c>
      <c r="C9" s="4"/>
      <c r="D9" s="5">
        <f>'Income Statement'!D8</f>
        <v>2037.54</v>
      </c>
      <c r="E9" s="5">
        <f>'Income Statement'!E8</f>
        <v>1929.33</v>
      </c>
      <c r="F9" s="5">
        <f>'Income Statement'!F8</f>
        <v>2253.04</v>
      </c>
      <c r="G9" s="5">
        <f>'Income Statement'!G8</f>
        <v>2268.54</v>
      </c>
    </row>
    <row r="10" spans="2:7" ht="18.75" x14ac:dyDescent="0.25">
      <c r="B10" s="9" t="s">
        <v>132</v>
      </c>
      <c r="C10" s="6"/>
      <c r="D10" s="7">
        <f>D7+D8-D9</f>
        <v>3144.1800000000003</v>
      </c>
      <c r="E10" s="7">
        <f t="shared" ref="E10:G10" si="0">E7+E8-E9</f>
        <v>4787.7700000000004</v>
      </c>
      <c r="F10" s="7">
        <f t="shared" si="0"/>
        <v>3804.58</v>
      </c>
      <c r="G10" s="7">
        <f t="shared" si="0"/>
        <v>5771.45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-4.2699999999999996</v>
      </c>
      <c r="E12" s="4">
        <f>'Balance Sheet'!D31-'Balance Sheet'!E31</f>
        <v>0.6899999999999995</v>
      </c>
      <c r="F12" s="4">
        <f>'Balance Sheet'!E31-'Balance Sheet'!F31</f>
        <v>5.0000000000000266E-2</v>
      </c>
      <c r="G12" s="4">
        <f>'Balance Sheet'!F31-'Balance Sheet'!G31</f>
        <v>3.53</v>
      </c>
    </row>
    <row r="13" spans="2:7" ht="18.75" x14ac:dyDescent="0.25">
      <c r="B13" s="8" t="str">
        <f>'Balance Sheet'!B32</f>
        <v>Long Term Loans And Advances</v>
      </c>
      <c r="C13" s="4"/>
      <c r="D13" s="5">
        <f>'Balance Sheet'!C32-'Balance Sheet'!D32</f>
        <v>245.15999999999985</v>
      </c>
      <c r="E13" s="5">
        <f>'Balance Sheet'!D32-'Balance Sheet'!E32</f>
        <v>-1158.0100000000002</v>
      </c>
      <c r="F13" s="5">
        <f>'Balance Sheet'!E32-'Balance Sheet'!F32</f>
        <v>-324.72999999999956</v>
      </c>
      <c r="G13" s="5">
        <f>'Balance Sheet'!F32-'Balance Sheet'!G32</f>
        <v>1355.38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-247.31000000000017</v>
      </c>
      <c r="E14" s="5">
        <f>'Balance Sheet'!D33-'Balance Sheet'!E33</f>
        <v>-631.56999999999971</v>
      </c>
      <c r="F14" s="5">
        <f>'Balance Sheet'!E33-'Balance Sheet'!F33</f>
        <v>387.50999999999976</v>
      </c>
      <c r="G14" s="5">
        <f>'Balance Sheet'!F33-'Balance Sheet'!G33</f>
        <v>-582.44000000000005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-1414.25</v>
      </c>
      <c r="E15" s="4">
        <f>'Balance Sheet'!D34-'Balance Sheet'!E34</f>
        <v>979.81000000000006</v>
      </c>
      <c r="F15" s="4">
        <f>'Balance Sheet'!E34-'Balance Sheet'!F34</f>
        <v>566.79999999999995</v>
      </c>
      <c r="G15" s="4">
        <f>'Balance Sheet'!F34-'Balance Sheet'!G34</f>
        <v>2.0600000000000023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-5006.4600000000009</v>
      </c>
      <c r="E16" s="5">
        <f>'Balance Sheet'!D35-'Balance Sheet'!E35</f>
        <v>2241.3000000000011</v>
      </c>
      <c r="F16" s="5">
        <f>'Balance Sheet'!E35-'Balance Sheet'!F35</f>
        <v>6153.6299999999992</v>
      </c>
      <c r="G16" s="5">
        <f>'Balance Sheet'!F35-'Balance Sheet'!G35</f>
        <v>-898.92999999999984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-403.93000000000029</v>
      </c>
      <c r="E17" s="5">
        <f>'Balance Sheet'!D36-'Balance Sheet'!E36</f>
        <v>692.27000000000044</v>
      </c>
      <c r="F17" s="5">
        <f>'Balance Sheet'!E36-'Balance Sheet'!F36</f>
        <v>-4463.4200000000019</v>
      </c>
      <c r="G17" s="5">
        <f>'Balance Sheet'!F36-'Balance Sheet'!G36</f>
        <v>-15472.719999999998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-1696.9700000000003</v>
      </c>
      <c r="E18" s="5">
        <f>'Balance Sheet'!D37-'Balance Sheet'!E37</f>
        <v>1528.2299999999996</v>
      </c>
      <c r="F18" s="5">
        <f>'Balance Sheet'!E37-'Balance Sheet'!F37</f>
        <v>-2456.75</v>
      </c>
      <c r="G18" s="5">
        <f>'Balance Sheet'!F37-'Balance Sheet'!G37</f>
        <v>-1872.6999999999989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144.27000000000021</v>
      </c>
      <c r="E20" s="5">
        <f>'Balance Sheet'!E14-'Balance Sheet'!D14</f>
        <v>58.3599999999999</v>
      </c>
      <c r="F20" s="5">
        <f>'Balance Sheet'!F14-'Balance Sheet'!E14</f>
        <v>12.900000000000091</v>
      </c>
      <c r="G20" s="5">
        <f>'Balance Sheet'!G14-'Balance Sheet'!F14</f>
        <v>-1374.6000000000001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219.05999999999995</v>
      </c>
      <c r="E21" s="5">
        <f>'Balance Sheet'!E15-'Balance Sheet'!D15</f>
        <v>10.810000000000173</v>
      </c>
      <c r="F21" s="5">
        <f>'Balance Sheet'!F15-'Balance Sheet'!E15</f>
        <v>-89.110000000000127</v>
      </c>
      <c r="G21" s="5">
        <f>'Balance Sheet'!G15-'Balance Sheet'!F15</f>
        <v>975.1099999999999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138.48000000000002</v>
      </c>
      <c r="E22" s="5">
        <f>'Balance Sheet'!E16-'Balance Sheet'!D16</f>
        <v>5908.91</v>
      </c>
      <c r="F22" s="5">
        <f>'Balance Sheet'!F16-'Balance Sheet'!E16</f>
        <v>1973.3899999999994</v>
      </c>
      <c r="G22" s="5">
        <f>'Balance Sheet'!G16-'Balance Sheet'!F16</f>
        <v>1362.6200000000008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2186.5200000000004</v>
      </c>
      <c r="E23" s="5">
        <f>'Balance Sheet'!E17-'Balance Sheet'!D17</f>
        <v>-4277.5200000000004</v>
      </c>
      <c r="F23" s="5">
        <f>'Balance Sheet'!F17-'Balance Sheet'!E17</f>
        <v>3155.4600000000009</v>
      </c>
      <c r="G23" s="5">
        <f>'Balance Sheet'!G17-'Balance Sheet'!F17</f>
        <v>14085.050000000001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4388.0599999999977</v>
      </c>
      <c r="E24" s="5">
        <f>'Balance Sheet'!E18-'Balance Sheet'!D18</f>
        <v>2182.2900000000009</v>
      </c>
      <c r="F24" s="5">
        <f>'Balance Sheet'!F18-'Balance Sheet'!E18</f>
        <v>7204.8700000000026</v>
      </c>
      <c r="G24" s="5">
        <f>'Balance Sheet'!G18-'Balance Sheet'!F18</f>
        <v>-4263.010000000002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4377.5200000000004</v>
      </c>
      <c r="E26" s="5">
        <f>'Income Statement'!E26</f>
        <v>-14.21</v>
      </c>
      <c r="F26" s="5">
        <f>'Income Statement'!F26</f>
        <v>5112.1899999999996</v>
      </c>
      <c r="G26" s="5">
        <f>'Income Statement'!G26</f>
        <v>4355.2299999999996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138492.07999999996</v>
      </c>
      <c r="E27" s="7">
        <f t="shared" ref="E27:G27" si="1">E12+E13+E14+E15+E16+E17+E18+E20+E21+E22+E23+E24-E26+E10+E5</f>
        <v>144096.38</v>
      </c>
      <c r="F27" s="7">
        <f t="shared" si="1"/>
        <v>141154.66999999998</v>
      </c>
      <c r="G27" s="7">
        <f t="shared" si="1"/>
        <v>149096.64999999997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-3710.3399999999965</v>
      </c>
      <c r="E29" s="5">
        <f>'Balance Sheet'!D23-'Balance Sheet'!E23</f>
        <v>-10822.690000000002</v>
      </c>
      <c r="F29" s="5">
        <f>'Balance Sheet'!E23-'Balance Sheet'!F23</f>
        <v>-3794.9199999999983</v>
      </c>
      <c r="G29" s="5">
        <f>'Balance Sheet'!F23-'Balance Sheet'!G23</f>
        <v>-34541.539999999994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-65.199999999999989</v>
      </c>
      <c r="E30" s="4">
        <f>'Balance Sheet'!D24-'Balance Sheet'!E24</f>
        <v>-37.04000000000002</v>
      </c>
      <c r="F30" s="4">
        <f>'Balance Sheet'!E24-'Balance Sheet'!F24</f>
        <v>-128.82</v>
      </c>
      <c r="G30" s="4">
        <f>'Balance Sheet'!F24-'Balance Sheet'!G24</f>
        <v>509.42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-832.52999999999884</v>
      </c>
      <c r="E31" s="5">
        <f>'Balance Sheet'!D27-'Balance Sheet'!E27</f>
        <v>-2712.1500000000015</v>
      </c>
      <c r="F31" s="5">
        <f>'Balance Sheet'!E27-'Balance Sheet'!F27</f>
        <v>1846.510000000002</v>
      </c>
      <c r="G31" s="5">
        <f>'Balance Sheet'!F27-'Balance Sheet'!G27</f>
        <v>799.82999999999811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-349.8100000000004</v>
      </c>
      <c r="E32" s="5">
        <f>'Balance Sheet'!D28-'Balance Sheet'!E28</f>
        <v>590.55000000000018</v>
      </c>
      <c r="F32" s="5">
        <f>'Balance Sheet'!E28-'Balance Sheet'!F28</f>
        <v>-1585.7300000000005</v>
      </c>
      <c r="G32" s="5">
        <f>'Balance Sheet'!F28-'Balance Sheet'!G28</f>
        <v>2352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2581.840000000002</v>
      </c>
      <c r="E33" s="5">
        <f>'Balance Sheet'!D29-'Balance Sheet'!E29</f>
        <v>-2655.6100000000006</v>
      </c>
      <c r="F33" s="5">
        <f>'Balance Sheet'!E29-'Balance Sheet'!F29</f>
        <v>2303.09</v>
      </c>
      <c r="G33" s="5">
        <f>'Balance Sheet'!F29-'Balance Sheet'!G29</f>
        <v>7645.42</v>
      </c>
    </row>
    <row r="34" spans="2:7" ht="18.75" x14ac:dyDescent="0.25">
      <c r="B34" s="8" t="s">
        <v>59</v>
      </c>
      <c r="C34" s="4"/>
      <c r="D34" s="5">
        <f>'Income Statement'!D8</f>
        <v>2037.54</v>
      </c>
      <c r="E34" s="5">
        <f>'Income Statement'!E8</f>
        <v>1929.33</v>
      </c>
      <c r="F34" s="5">
        <f>'Income Statement'!F8</f>
        <v>2253.04</v>
      </c>
      <c r="G34" s="5">
        <f>'Income Statement'!G8</f>
        <v>2268.54</v>
      </c>
    </row>
    <row r="35" spans="2:7" ht="18.75" x14ac:dyDescent="0.25">
      <c r="B35" s="9" t="s">
        <v>137</v>
      </c>
      <c r="C35" s="6"/>
      <c r="D35" s="7">
        <f>D29+D30+D31+D32+D33+D34</f>
        <v>-338.49999999999363</v>
      </c>
      <c r="E35" s="7">
        <f t="shared" ref="E35:G35" si="2">E29+E30+E31+E32+E33+E34</f>
        <v>-13707.610000000006</v>
      </c>
      <c r="F35" s="7">
        <f t="shared" si="2"/>
        <v>893.17000000000326</v>
      </c>
      <c r="G35" s="7">
        <f t="shared" si="2"/>
        <v>-20966.329999999994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0</v>
      </c>
      <c r="E37" s="5">
        <f>'Balance Sheet'!E5-'Balance Sheet'!D5</f>
        <v>9.9999999999909051E-3</v>
      </c>
      <c r="F37" s="5">
        <f>'Balance Sheet'!F5-'Balance Sheet'!E5</f>
        <v>126.01999999999975</v>
      </c>
      <c r="G37" s="5">
        <f>'Balance Sheet'!G5-'Balance Sheet'!F5</f>
        <v>36.539999999999964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5411.3000000000029</v>
      </c>
      <c r="E39" s="5">
        <f>'Balance Sheet'!E10-'Balance Sheet'!D10</f>
        <v>3728.3099999999977</v>
      </c>
      <c r="F39" s="5">
        <f>'Balance Sheet'!F10-'Balance Sheet'!E10</f>
        <v>-2303.6699999999983</v>
      </c>
      <c r="G39" s="5">
        <f>'Balance Sheet'!G10-'Balance Sheet'!F10</f>
        <v>618.70999999999913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1269.6100000000006</v>
      </c>
      <c r="E40" s="5">
        <f>'Balance Sheet'!E11-'Balance Sheet'!D11</f>
        <v>-628.09000000000015</v>
      </c>
      <c r="F40" s="5">
        <f>'Balance Sheet'!F11-'Balance Sheet'!E11</f>
        <v>-1229.4400000000005</v>
      </c>
      <c r="G40" s="5">
        <f>'Balance Sheet'!G11-'Balance Sheet'!F11</f>
        <v>1441.2400000000007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505.92000000000098</v>
      </c>
      <c r="E41" s="5">
        <f>'Balance Sheet'!E12-'Balance Sheet'!D12</f>
        <v>9196.2000000000007</v>
      </c>
      <c r="F41" s="5">
        <f>'Balance Sheet'!F12-'Balance Sheet'!E12</f>
        <v>-13562.34</v>
      </c>
      <c r="G41" s="5">
        <f>'Balance Sheet'!G12-'Balance Sheet'!F12</f>
        <v>15340.939999999999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164.95000000000005</v>
      </c>
      <c r="E42" s="4">
        <f>'Balance Sheet'!E20-'Balance Sheet'!D20</f>
        <v>-13.710000000000036</v>
      </c>
      <c r="F42" s="4">
        <f>'Balance Sheet'!F20-'Balance Sheet'!E20</f>
        <v>-2056.33</v>
      </c>
      <c r="G42" s="4">
        <f>'Balance Sheet'!G20-'Balance Sheet'!F20</f>
        <v>0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3540.39</v>
      </c>
      <c r="E44" s="5">
        <f>'Income Statement'!E28</f>
        <v>4818.8599999999997</v>
      </c>
      <c r="F44" s="5">
        <f>'Income Statement'!F28</f>
        <v>4555.43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801.76</v>
      </c>
      <c r="E45" s="4">
        <f>'Income Statement'!E29</f>
        <v>1091.23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1763.95</v>
      </c>
      <c r="E46" s="5">
        <f>'Income Statement'!E20</f>
        <v>2637.01</v>
      </c>
      <c r="F46" s="5">
        <f>'Income Statement'!F20</f>
        <v>1723.41</v>
      </c>
      <c r="G46" s="5">
        <f>'Income Statement'!G20</f>
        <v>2605.64</v>
      </c>
    </row>
    <row r="47" spans="2:7" ht="18.75" x14ac:dyDescent="0.25">
      <c r="B47" s="9" t="s">
        <v>141</v>
      </c>
      <c r="C47" s="6"/>
      <c r="D47" s="7">
        <f>D37+D38+D39+D40+D41+D42-D44-D45-D46</f>
        <v>1245.6800000000046</v>
      </c>
      <c r="E47" s="7">
        <f t="shared" ref="E47:G47" si="3">E37+E38+E39+E40+E41+E42-E44-E45-E46</f>
        <v>3735.6199999999972</v>
      </c>
      <c r="F47" s="7">
        <f t="shared" si="3"/>
        <v>-25304.600000000002</v>
      </c>
      <c r="G47" s="7">
        <f t="shared" si="3"/>
        <v>14831.79</v>
      </c>
    </row>
    <row r="48" spans="2:7" ht="18.75" x14ac:dyDescent="0.25">
      <c r="B48" s="9" t="s">
        <v>142</v>
      </c>
      <c r="C48" s="6"/>
      <c r="D48" s="7">
        <f>D27+D35+D47</f>
        <v>139399.25999999995</v>
      </c>
      <c r="E48" s="7">
        <f t="shared" ref="E48:G48" si="4">E27+E35+E47</f>
        <v>134124.39000000001</v>
      </c>
      <c r="F48" s="7">
        <f t="shared" si="4"/>
        <v>116743.23999999999</v>
      </c>
      <c r="G48" s="7">
        <f t="shared" si="4"/>
        <v>142962.10999999999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D7787-3E5C-4EE6-89AC-F87427D1E236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4.85546875" bestFit="1" customWidth="1"/>
    <col min="4" max="7" width="15.57031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119633.07999999997</v>
      </c>
      <c r="D6" s="16">
        <f>'Income Statement'!D27</f>
        <v>136799.53999999998</v>
      </c>
      <c r="E6" s="16">
        <f>'Income Statement'!E27</f>
        <v>131773.03999999998</v>
      </c>
      <c r="F6" s="16">
        <f>'Income Statement'!F27</f>
        <v>125229.48999999999</v>
      </c>
      <c r="G6" s="16">
        <f>'Income Statement'!G27</f>
        <v>150005.84999999995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46</v>
      </c>
      <c r="D8" s="17">
        <f t="shared" ref="D8:G8" si="0">ROUND(D6/D7, 2)</f>
        <v>40</v>
      </c>
      <c r="E8" s="17">
        <f t="shared" si="0"/>
        <v>16</v>
      </c>
      <c r="F8" s="17">
        <f t="shared" si="0"/>
        <v>82</v>
      </c>
      <c r="G8" s="17">
        <f t="shared" si="0"/>
        <v>55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2884.76</v>
      </c>
      <c r="D11" s="16">
        <f>'Income Statement'!D28</f>
        <v>3540.39</v>
      </c>
      <c r="E11" s="16">
        <f>'Income Statement'!E28</f>
        <v>4818.8599999999997</v>
      </c>
      <c r="F11" s="16">
        <f>'Income Statement'!F28</f>
        <v>4555.43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2600.7191304347821</v>
      </c>
      <c r="D12" s="16">
        <f>'Income Statement'!D35</f>
        <v>3419.9884999999995</v>
      </c>
      <c r="E12" s="16">
        <f>'Income Statement'!E35</f>
        <v>8235.8149999999987</v>
      </c>
      <c r="F12" s="16">
        <f>'Income Statement'!F35</f>
        <v>1527.1889024390243</v>
      </c>
      <c r="G12" s="16">
        <f>'Income Statement'!G35</f>
        <v>2727.3790909090899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1.1100000000000001</v>
      </c>
      <c r="D13" s="17">
        <f t="shared" ref="D13:G13" si="1">ROUND(D11/D12, 2)</f>
        <v>1.04</v>
      </c>
      <c r="E13" s="17">
        <f t="shared" si="1"/>
        <v>0.59</v>
      </c>
      <c r="F13" s="17">
        <f t="shared" si="1"/>
        <v>2.98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36618.57</v>
      </c>
      <c r="D16" s="16">
        <f>'Balance Sheet'!D9</f>
        <v>169075.95999999996</v>
      </c>
      <c r="E16" s="16">
        <f>'Balance Sheet'!E9</f>
        <v>294938.91999999993</v>
      </c>
      <c r="F16" s="16">
        <f>'Balance Sheet'!F9</f>
        <v>415738.99999999988</v>
      </c>
      <c r="G16" s="16">
        <f>'Balance Sheet'!G9</f>
        <v>565781.38999999978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2600.7191304347821</v>
      </c>
      <c r="D17" s="16">
        <f>'Income Statement'!D35</f>
        <v>3419.9884999999995</v>
      </c>
      <c r="E17" s="16">
        <f>'Income Statement'!E35</f>
        <v>8235.8149999999987</v>
      </c>
      <c r="F17" s="16">
        <f>'Income Statement'!F35</f>
        <v>1527.1889024390243</v>
      </c>
      <c r="G17" s="16">
        <f>'Income Statement'!G35</f>
        <v>2727.3790909090899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14.08</v>
      </c>
      <c r="D18" s="17">
        <f t="shared" ref="D18:G18" si="2">ROUND(D16/D17, 2)</f>
        <v>49.44</v>
      </c>
      <c r="E18" s="17">
        <f t="shared" si="2"/>
        <v>35.81</v>
      </c>
      <c r="F18" s="17">
        <f t="shared" si="2"/>
        <v>272.23</v>
      </c>
      <c r="G18" s="17">
        <f t="shared" si="2"/>
        <v>207.45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2884.76</v>
      </c>
      <c r="D21" s="16">
        <f>'Income Statement'!D28</f>
        <v>3540.39</v>
      </c>
      <c r="E21" s="16">
        <f>'Income Statement'!E28</f>
        <v>4818.8599999999997</v>
      </c>
      <c r="F21" s="16">
        <f>'Income Statement'!F28</f>
        <v>4555.43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2600.7191304347821</v>
      </c>
      <c r="D22" s="16">
        <f>'Income Statement'!D35</f>
        <v>3419.9884999999995</v>
      </c>
      <c r="E22" s="16">
        <f>'Income Statement'!E35</f>
        <v>8235.8149999999987</v>
      </c>
      <c r="F22" s="16">
        <f>'Income Statement'!F35</f>
        <v>1527.1889024390243</v>
      </c>
      <c r="G22" s="16">
        <f>'Income Statement'!G35</f>
        <v>2727.3790909090899</v>
      </c>
    </row>
    <row r="23" spans="2:12" ht="18.75" x14ac:dyDescent="0.25">
      <c r="B23" s="15" t="s">
        <v>148</v>
      </c>
      <c r="C23" s="16">
        <f>ROUND(C21/C22, 2)</f>
        <v>1.1100000000000001</v>
      </c>
      <c r="D23" s="16">
        <f t="shared" ref="D23:G23" si="3">ROUND(D21/D22, 2)</f>
        <v>1.04</v>
      </c>
      <c r="E23" s="16">
        <f t="shared" si="3"/>
        <v>0.59</v>
      </c>
      <c r="F23" s="16">
        <f t="shared" si="3"/>
        <v>2.98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119633.07999999997</v>
      </c>
      <c r="D24" s="16">
        <f>'Income Statement'!D27</f>
        <v>136799.53999999998</v>
      </c>
      <c r="E24" s="16">
        <f>'Income Statement'!E27</f>
        <v>131773.03999999998</v>
      </c>
      <c r="F24" s="16">
        <f>'Income Statement'!F27</f>
        <v>125229.48999999999</v>
      </c>
      <c r="G24" s="16">
        <f>'Income Statement'!G27</f>
        <v>150005.84999999995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2600.7191304347821</v>
      </c>
      <c r="D25" s="16">
        <f>'Income Statement'!D35</f>
        <v>3419.9884999999995</v>
      </c>
      <c r="E25" s="16">
        <f>'Income Statement'!E35</f>
        <v>8235.8149999999987</v>
      </c>
      <c r="F25" s="16">
        <f>'Income Statement'!F35</f>
        <v>1527.1889024390243</v>
      </c>
      <c r="G25" s="16">
        <f>'Income Statement'!G35</f>
        <v>2727.3790909090899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46</v>
      </c>
      <c r="D26" s="16">
        <f t="shared" ref="D26:G26" si="4">D24/D25</f>
        <v>40</v>
      </c>
      <c r="E26" s="16">
        <f t="shared" si="4"/>
        <v>16</v>
      </c>
      <c r="F26" s="16">
        <f t="shared" si="4"/>
        <v>82</v>
      </c>
      <c r="G26" s="16">
        <f t="shared" si="4"/>
        <v>55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0.02</v>
      </c>
      <c r="D27" s="17">
        <f t="shared" ref="D27:G27" si="5">ROUND(D23/D26, 2)</f>
        <v>0.03</v>
      </c>
      <c r="E27" s="17">
        <f t="shared" si="5"/>
        <v>0.04</v>
      </c>
      <c r="F27" s="17">
        <f t="shared" si="5"/>
        <v>0.04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2884.76</v>
      </c>
      <c r="D30" s="16">
        <f>'Income Statement'!D28</f>
        <v>3540.39</v>
      </c>
      <c r="E30" s="16">
        <f>'Income Statement'!E28</f>
        <v>4818.8599999999997</v>
      </c>
      <c r="F30" s="16">
        <f>'Income Statement'!F28</f>
        <v>4555.43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2600.7191304347821</v>
      </c>
      <c r="D31" s="16">
        <f>'Income Statement'!D35</f>
        <v>3419.9884999999995</v>
      </c>
      <c r="E31" s="16">
        <f>'Income Statement'!E35</f>
        <v>8235.8149999999987</v>
      </c>
      <c r="F31" s="16">
        <f>'Income Statement'!F35</f>
        <v>1527.1889024390243</v>
      </c>
      <c r="G31" s="16">
        <f>'Income Statement'!G35</f>
        <v>2727.3790909090899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1.1100000000000001</v>
      </c>
      <c r="D32" s="16">
        <f t="shared" ref="D32:G32" si="6">ROUND(D30/D31, 2)</f>
        <v>1.04</v>
      </c>
      <c r="E32" s="16">
        <f t="shared" si="6"/>
        <v>0.59</v>
      </c>
      <c r="F32" s="16">
        <f t="shared" si="6"/>
        <v>2.98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-0.1100000000000001</v>
      </c>
      <c r="D33" s="27">
        <f t="shared" ref="D33:G33" si="7">1-D32</f>
        <v>-4.0000000000000036E-2</v>
      </c>
      <c r="E33" s="27">
        <f t="shared" si="7"/>
        <v>0.41000000000000003</v>
      </c>
      <c r="F33" s="27">
        <f t="shared" si="7"/>
        <v>-1.98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278567.11</v>
      </c>
      <c r="D36" s="16">
        <f>'Income Statement'!D5</f>
        <v>339639</v>
      </c>
      <c r="E36" s="16">
        <f>'Income Statement'!E5</f>
        <v>328608.96999999997</v>
      </c>
      <c r="F36" s="16">
        <f>'Income Statement'!F5</f>
        <v>303229.69</v>
      </c>
      <c r="G36" s="16">
        <f>'Income Statement'!G5</f>
        <v>432569.62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90110.77</v>
      </c>
      <c r="D37" s="16">
        <f>'Income Statement'!D11</f>
        <v>130693.29</v>
      </c>
      <c r="E37" s="16">
        <f>'Income Statement'!E11</f>
        <v>121896.01</v>
      </c>
      <c r="F37" s="16">
        <f>'Income Statement'!F11</f>
        <v>78778.039999999994</v>
      </c>
      <c r="G37" s="16">
        <f>'Income Statement'!G11</f>
        <v>163541.19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188456.34</v>
      </c>
      <c r="D38" s="28">
        <f t="shared" ref="D38:G38" si="8">ROUND(D36- D37, 2)</f>
        <v>208945.71</v>
      </c>
      <c r="E38" s="28">
        <f t="shared" si="8"/>
        <v>206712.95999999999</v>
      </c>
      <c r="F38" s="28">
        <f t="shared" si="8"/>
        <v>224451.65</v>
      </c>
      <c r="G38" s="28">
        <f t="shared" si="8"/>
        <v>269028.43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278567.11</v>
      </c>
      <c r="D41" s="16">
        <f>'Income Statement'!D5</f>
        <v>339639</v>
      </c>
      <c r="E41" s="16">
        <f>'Income Statement'!E5</f>
        <v>328608.96999999997</v>
      </c>
      <c r="F41" s="16">
        <f>'Income Statement'!F5</f>
        <v>303229.69</v>
      </c>
      <c r="G41" s="16">
        <f>'Income Statement'!G5</f>
        <v>432569.62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108613.2</v>
      </c>
      <c r="D42" s="16">
        <f>'Income Statement'!D15</f>
        <v>152664.20000000001</v>
      </c>
      <c r="E42" s="16">
        <f>'Income Statement'!E15</f>
        <v>145526.75999999998</v>
      </c>
      <c r="F42" s="16">
        <f>'Income Statement'!F15</f>
        <v>100245.54000000001</v>
      </c>
      <c r="G42" s="16">
        <f>'Income Statement'!G15</f>
        <v>187793.7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169953.91</v>
      </c>
      <c r="D43" s="28">
        <f t="shared" ref="D43:G43" si="9">ROUND(D41- D42, 2)</f>
        <v>186974.8</v>
      </c>
      <c r="E43" s="28">
        <f t="shared" si="9"/>
        <v>183082.21</v>
      </c>
      <c r="F43" s="28">
        <f t="shared" si="9"/>
        <v>202984.15</v>
      </c>
      <c r="G43" s="28">
        <f t="shared" si="9"/>
        <v>244775.92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119633.07999999997</v>
      </c>
      <c r="D46" s="16">
        <f>'Income Statement'!D27</f>
        <v>136799.53999999998</v>
      </c>
      <c r="E46" s="16">
        <f>'Income Statement'!E27</f>
        <v>131773.03999999998</v>
      </c>
      <c r="F46" s="16">
        <f>'Income Statement'!F27</f>
        <v>125229.48999999999</v>
      </c>
      <c r="G46" s="16">
        <f>'Income Statement'!G27</f>
        <v>150005.84999999995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120356.06000000001</v>
      </c>
      <c r="D47" s="16">
        <f>'Balance Sheet'!D40</f>
        <v>267241.61999999994</v>
      </c>
      <c r="E47" s="16">
        <f>'Balance Sheet'!E40</f>
        <v>409270.1399999999</v>
      </c>
      <c r="F47" s="16">
        <f>'Balance Sheet'!F40</f>
        <v>523175.94999999995</v>
      </c>
      <c r="G47" s="16">
        <f>'Balance Sheet'!G40</f>
        <v>701404.39999999991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0.99</v>
      </c>
      <c r="D48" s="27">
        <f t="shared" ref="D48:G48" si="10">ROUND(D46/ D47, 2)</f>
        <v>0.51</v>
      </c>
      <c r="E48" s="27">
        <f t="shared" si="10"/>
        <v>0.32</v>
      </c>
      <c r="F48" s="27">
        <f t="shared" si="10"/>
        <v>0.24</v>
      </c>
      <c r="G48" s="27">
        <f t="shared" si="10"/>
        <v>0.21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125200.42999999998</v>
      </c>
      <c r="D51" s="16">
        <f>'Income Statement'!D19</f>
        <v>142941.00999999998</v>
      </c>
      <c r="E51" s="16">
        <f>'Income Statement'!E19</f>
        <v>135706.19</v>
      </c>
      <c r="F51" s="16">
        <f>'Income Statement'!F19</f>
        <v>126799.33</v>
      </c>
      <c r="G51" s="16">
        <f>'Income Statement'!G19</f>
        <v>155831.56999999998</v>
      </c>
    </row>
    <row r="52" spans="2:12" ht="19.5" thickTop="1" x14ac:dyDescent="0.25">
      <c r="B52" s="15" t="str">
        <f>'Balance Sheet'!B13</f>
        <v>Total Debt</v>
      </c>
      <c r="C52" s="16">
        <f>'Balance Sheet'!C13</f>
        <v>42519.71</v>
      </c>
      <c r="D52" s="16">
        <f>'Balance Sheet'!D13</f>
        <v>49706.540000000008</v>
      </c>
      <c r="E52" s="16">
        <f>'Balance Sheet'!E13</f>
        <v>62002.96</v>
      </c>
      <c r="F52" s="16">
        <f>'Balance Sheet'!F13</f>
        <v>44907.509999999995</v>
      </c>
      <c r="G52" s="16">
        <f>'Balance Sheet'!G13</f>
        <v>62308.4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36618.57</v>
      </c>
      <c r="D53" s="16">
        <f>'Balance Sheet'!D9</f>
        <v>169075.95999999996</v>
      </c>
      <c r="E53" s="16">
        <f>'Balance Sheet'!E9</f>
        <v>294938.91999999993</v>
      </c>
      <c r="F53" s="16">
        <f>'Balance Sheet'!F9</f>
        <v>415738.99999999988</v>
      </c>
      <c r="G53" s="16">
        <f>'Balance Sheet'!G9</f>
        <v>565781.38999999978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1.47</v>
      </c>
      <c r="D54" s="27">
        <f t="shared" ref="D54:G54" si="11">ROUND(D51/ (D52+ D52), 2)</f>
        <v>1.44</v>
      </c>
      <c r="E54" s="27">
        <f t="shared" si="11"/>
        <v>1.0900000000000001</v>
      </c>
      <c r="F54" s="27">
        <f t="shared" si="11"/>
        <v>1.41</v>
      </c>
      <c r="G54" s="27">
        <f t="shared" si="11"/>
        <v>1.25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119633.07999999997</v>
      </c>
      <c r="D57" s="16">
        <f>'Income Statement'!D27</f>
        <v>136799.53999999998</v>
      </c>
      <c r="E57" s="16">
        <f>'Income Statement'!E27</f>
        <v>131773.03999999998</v>
      </c>
      <c r="F57" s="16">
        <f>'Income Statement'!F27</f>
        <v>125229.48999999999</v>
      </c>
      <c r="G57" s="16">
        <f>'Income Statement'!G27</f>
        <v>150005.84999999995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36618.57</v>
      </c>
      <c r="D58" s="16">
        <f>'Balance Sheet'!D9</f>
        <v>169075.95999999996</v>
      </c>
      <c r="E58" s="16">
        <f>'Balance Sheet'!E9</f>
        <v>294938.91999999993</v>
      </c>
      <c r="F58" s="16">
        <f>'Balance Sheet'!F9</f>
        <v>415738.99999999988</v>
      </c>
      <c r="G58" s="16">
        <f>'Balance Sheet'!G9</f>
        <v>565781.38999999978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1.63</v>
      </c>
      <c r="D59" s="27">
        <f t="shared" ref="D59:G59" si="12">ROUND(D57/ (D58+ D58), 2)</f>
        <v>0.4</v>
      </c>
      <c r="E59" s="27">
        <f t="shared" si="12"/>
        <v>0.22</v>
      </c>
      <c r="F59" s="27">
        <f t="shared" si="12"/>
        <v>0.15</v>
      </c>
      <c r="G59" s="27">
        <f t="shared" si="12"/>
        <v>0.13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42519.71</v>
      </c>
      <c r="D62" s="16">
        <f>'Balance Sheet'!D13</f>
        <v>49706.540000000008</v>
      </c>
      <c r="E62" s="16">
        <f>'Balance Sheet'!E13</f>
        <v>62002.96</v>
      </c>
      <c r="F62" s="16">
        <f>'Balance Sheet'!F13</f>
        <v>44907.509999999995</v>
      </c>
      <c r="G62" s="16">
        <f>'Balance Sheet'!G13</f>
        <v>62308.4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36618.57</v>
      </c>
      <c r="D63" s="16">
        <f>'Balance Sheet'!D9</f>
        <v>169075.95999999996</v>
      </c>
      <c r="E63" s="16">
        <f>'Balance Sheet'!E9</f>
        <v>294938.91999999993</v>
      </c>
      <c r="F63" s="16">
        <f>'Balance Sheet'!F9</f>
        <v>415738.99999999988</v>
      </c>
      <c r="G63" s="16">
        <f>'Balance Sheet'!G9</f>
        <v>565781.38999999978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1.1599999999999999</v>
      </c>
      <c r="D64" s="17">
        <f t="shared" ref="D64:G64" si="13">ROUND(D62/ D63, 2)</f>
        <v>0.28999999999999998</v>
      </c>
      <c r="E64" s="17">
        <f t="shared" si="13"/>
        <v>0.21</v>
      </c>
      <c r="F64" s="17">
        <f t="shared" si="13"/>
        <v>0.11</v>
      </c>
      <c r="G64" s="17">
        <f t="shared" si="13"/>
        <v>0.11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41217.449999999997</v>
      </c>
      <c r="D67" s="16">
        <f>'Balance Sheet'!D39</f>
        <v>189144.73999999993</v>
      </c>
      <c r="E67" s="16">
        <f>'Balance Sheet'!E39</f>
        <v>319616.40999999992</v>
      </c>
      <c r="F67" s="16">
        <f>'Balance Sheet'!F39</f>
        <v>436496.55999999994</v>
      </c>
      <c r="G67" s="16">
        <f>'Balance Sheet'!G39</f>
        <v>596924.48999999987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39312.69</v>
      </c>
      <c r="D68" s="16">
        <f>'Balance Sheet'!D19</f>
        <v>46389.08</v>
      </c>
      <c r="E68" s="16">
        <f>'Balance Sheet'!E19</f>
        <v>50271.93</v>
      </c>
      <c r="F68" s="16">
        <f>'Balance Sheet'!F19</f>
        <v>62529.440000000002</v>
      </c>
      <c r="G68" s="16">
        <f>'Balance Sheet'!G19</f>
        <v>73314.61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1.05</v>
      </c>
      <c r="D69" s="17">
        <f t="shared" ref="D69:G69" si="14">ROUND(D67/ D68, 2)</f>
        <v>4.08</v>
      </c>
      <c r="E69" s="17">
        <f t="shared" si="14"/>
        <v>6.36</v>
      </c>
      <c r="F69" s="17">
        <f t="shared" si="14"/>
        <v>6.98</v>
      </c>
      <c r="G69" s="17">
        <f t="shared" si="14"/>
        <v>8.14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41217.449999999997</v>
      </c>
      <c r="D72" s="16">
        <f>'Balance Sheet'!D39</f>
        <v>189144.73999999993</v>
      </c>
      <c r="E72" s="16">
        <f>'Balance Sheet'!E39</f>
        <v>319616.40999999992</v>
      </c>
      <c r="F72" s="16">
        <f>'Balance Sheet'!F39</f>
        <v>436496.55999999994</v>
      </c>
      <c r="G72" s="16">
        <f>'Balance Sheet'!G39</f>
        <v>596924.48999999987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22530.94</v>
      </c>
      <c r="D73" s="16">
        <f>'Balance Sheet'!D36</f>
        <v>22934.87</v>
      </c>
      <c r="E73" s="16">
        <f>'Balance Sheet'!E36</f>
        <v>22242.6</v>
      </c>
      <c r="F73" s="16">
        <f>'Balance Sheet'!F36</f>
        <v>26706.02</v>
      </c>
      <c r="G73" s="16">
        <f>'Balance Sheet'!G36</f>
        <v>42178.74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39312.69</v>
      </c>
      <c r="D74" s="16">
        <f>'Balance Sheet'!D19</f>
        <v>46389.08</v>
      </c>
      <c r="E74" s="16">
        <f>'Balance Sheet'!E19</f>
        <v>50271.93</v>
      </c>
      <c r="F74" s="16">
        <f>'Balance Sheet'!F19</f>
        <v>62529.440000000002</v>
      </c>
      <c r="G74" s="16">
        <f>'Balance Sheet'!G19</f>
        <v>73314.61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0.48</v>
      </c>
      <c r="D75" s="17">
        <f t="shared" ref="D75:G75" si="15">ROUND((D72-D73)/ D74, 2)</f>
        <v>3.58</v>
      </c>
      <c r="E75" s="17">
        <f t="shared" si="15"/>
        <v>5.92</v>
      </c>
      <c r="F75" s="17">
        <f t="shared" si="15"/>
        <v>6.55</v>
      </c>
      <c r="G75" s="17">
        <f t="shared" si="15"/>
        <v>7.57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125200.42999999998</v>
      </c>
      <c r="D78" s="16">
        <f>'Income Statement'!D19</f>
        <v>142941.00999999998</v>
      </c>
      <c r="E78" s="16">
        <f>'Income Statement'!E19</f>
        <v>135706.19</v>
      </c>
      <c r="F78" s="16">
        <f>'Income Statement'!F19</f>
        <v>126799.33</v>
      </c>
      <c r="G78" s="16">
        <f>'Income Statement'!G19</f>
        <v>155831.56999999998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1185.74</v>
      </c>
      <c r="D79" s="16">
        <f>'Income Statement'!D20</f>
        <v>1763.95</v>
      </c>
      <c r="E79" s="16">
        <f>'Income Statement'!E20</f>
        <v>2637.01</v>
      </c>
      <c r="F79" s="16">
        <f>'Income Statement'!F20</f>
        <v>1723.41</v>
      </c>
      <c r="G79" s="16">
        <f>'Income Statement'!G20</f>
        <v>2605.64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105.59</v>
      </c>
      <c r="D80" s="17">
        <f t="shared" ref="D80:G80" si="16">ROUND(D78/D79, 2)</f>
        <v>81.03</v>
      </c>
      <c r="E80" s="17">
        <f t="shared" si="16"/>
        <v>51.46</v>
      </c>
      <c r="F80" s="17">
        <f t="shared" si="16"/>
        <v>73.569999999999993</v>
      </c>
      <c r="G80" s="17">
        <f t="shared" si="16"/>
        <v>59.81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90110.77</v>
      </c>
      <c r="D83" s="16">
        <f>'Income Statement'!D11</f>
        <v>130693.29</v>
      </c>
      <c r="E83" s="16">
        <f>'Income Statement'!E11</f>
        <v>121896.01</v>
      </c>
      <c r="F83" s="16">
        <f>'Income Statement'!F11</f>
        <v>78778.039999999994</v>
      </c>
      <c r="G83" s="16">
        <f>'Income Statement'!G11</f>
        <v>163541.19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235024.22999999998</v>
      </c>
      <c r="D84" s="16">
        <f>'Income Statement'!D7</f>
        <v>296985.44</v>
      </c>
      <c r="E84" s="16">
        <f>'Income Statement'!E7</f>
        <v>283383.70999999996</v>
      </c>
      <c r="F84" s="16">
        <f>'Income Statement'!F7</f>
        <v>229126.04</v>
      </c>
      <c r="G84" s="16">
        <f>'Income Statement'!G7</f>
        <v>346791.08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0.38</v>
      </c>
      <c r="D85" s="17">
        <f t="shared" ref="D85:G85" si="17">ROUND(D83/D84, 2)</f>
        <v>0.44</v>
      </c>
      <c r="E85" s="17">
        <f t="shared" si="17"/>
        <v>0.43</v>
      </c>
      <c r="F85" s="17">
        <f t="shared" si="17"/>
        <v>0.34</v>
      </c>
      <c r="G85" s="17">
        <f t="shared" si="17"/>
        <v>0.47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1353.86</v>
      </c>
      <c r="D88" s="16">
        <f>'Balance Sheet'!D38</f>
        <v>140753.11999999994</v>
      </c>
      <c r="E88" s="16">
        <f>'Balance Sheet'!E38</f>
        <v>274877.50999999995</v>
      </c>
      <c r="F88" s="16">
        <f>'Balance Sheet'!F38</f>
        <v>391620.74999999994</v>
      </c>
      <c r="G88" s="16">
        <f>'Balance Sheet'!G38</f>
        <v>534582.85999999987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90110.77</v>
      </c>
      <c r="D89" s="16">
        <f>'Income Statement'!D11</f>
        <v>130693.29</v>
      </c>
      <c r="E89" s="16">
        <f>'Income Statement'!E11</f>
        <v>121896.01</v>
      </c>
      <c r="F89" s="16">
        <f>'Income Statement'!F11</f>
        <v>78778.039999999994</v>
      </c>
      <c r="G89" s="16">
        <f>'Income Statement'!G11</f>
        <v>163541.19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5.48</v>
      </c>
      <c r="D90" s="17">
        <f t="shared" ref="D90:G90" si="18">ROUND(D88/D89*365, 2)</f>
        <v>393.1</v>
      </c>
      <c r="E90" s="17">
        <f t="shared" si="18"/>
        <v>823.08</v>
      </c>
      <c r="F90" s="17">
        <f t="shared" si="18"/>
        <v>1814.49</v>
      </c>
      <c r="G90" s="17">
        <f t="shared" si="18"/>
        <v>1193.1099999999999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1353.86</v>
      </c>
      <c r="D93" s="16">
        <f>'Balance Sheet'!D38</f>
        <v>140753.11999999994</v>
      </c>
      <c r="E93" s="16">
        <f>'Balance Sheet'!E38</f>
        <v>274877.50999999995</v>
      </c>
      <c r="F93" s="16">
        <f>'Balance Sheet'!F38</f>
        <v>391620.74999999994</v>
      </c>
      <c r="G93" s="16">
        <f>'Balance Sheet'!G38</f>
        <v>534582.85999999987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1353.86</v>
      </c>
      <c r="D95" s="17">
        <f t="shared" ref="D95:G95" si="19">ROUND(D93/D94*365, 2)</f>
        <v>140753.12</v>
      </c>
      <c r="E95" s="17">
        <f t="shared" si="19"/>
        <v>274877.51</v>
      </c>
      <c r="F95" s="17">
        <f t="shared" si="19"/>
        <v>391620.75</v>
      </c>
      <c r="G95" s="17">
        <f t="shared" si="19"/>
        <v>534582.86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278567.11</v>
      </c>
      <c r="D98" s="16">
        <f>'Income Statement'!D5</f>
        <v>339639</v>
      </c>
      <c r="E98" s="16">
        <f>'Income Statement'!E5</f>
        <v>328608.96999999997</v>
      </c>
      <c r="F98" s="16">
        <f>'Income Statement'!F5</f>
        <v>303229.69</v>
      </c>
      <c r="G98" s="16">
        <f>'Income Statement'!G5</f>
        <v>432569.62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120356.06000000001</v>
      </c>
      <c r="D99" s="16">
        <f>'Balance Sheet'!D40</f>
        <v>267241.61999999994</v>
      </c>
      <c r="E99" s="16">
        <f>'Balance Sheet'!E40</f>
        <v>409270.1399999999</v>
      </c>
      <c r="F99" s="16">
        <f>'Balance Sheet'!F40</f>
        <v>523175.94999999995</v>
      </c>
      <c r="G99" s="16">
        <f>'Balance Sheet'!G40</f>
        <v>701404.39999999991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2.31</v>
      </c>
      <c r="D100" s="17">
        <f t="shared" ref="D100:G100" si="20">ROUND(D98/D99, 2)</f>
        <v>1.27</v>
      </c>
      <c r="E100" s="17">
        <f t="shared" si="20"/>
        <v>0.8</v>
      </c>
      <c r="F100" s="17">
        <f t="shared" si="20"/>
        <v>0.57999999999999996</v>
      </c>
      <c r="G100" s="17">
        <f t="shared" si="20"/>
        <v>0.62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278567.11</v>
      </c>
      <c r="D103" s="16">
        <f>'Income Statement'!D5</f>
        <v>339639</v>
      </c>
      <c r="E103" s="16">
        <f>'Income Statement'!E5</f>
        <v>328608.96999999997</v>
      </c>
      <c r="F103" s="16">
        <f>'Income Statement'!F5</f>
        <v>303229.69</v>
      </c>
      <c r="G103" s="16">
        <f>'Income Statement'!G5</f>
        <v>432569.62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22530.94</v>
      </c>
      <c r="D104" s="16">
        <f>'Balance Sheet'!D36</f>
        <v>22934.87</v>
      </c>
      <c r="E104" s="16">
        <f>'Balance Sheet'!E36</f>
        <v>22242.6</v>
      </c>
      <c r="F104" s="16">
        <f>'Balance Sheet'!F36</f>
        <v>26706.02</v>
      </c>
      <c r="G104" s="16">
        <f>'Balance Sheet'!G36</f>
        <v>42178.74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12.36</v>
      </c>
      <c r="D105" s="17">
        <f t="shared" ref="D105:G105" si="21">ROUND(D103/D104, 2)</f>
        <v>14.81</v>
      </c>
      <c r="E105" s="17">
        <f t="shared" si="21"/>
        <v>14.77</v>
      </c>
      <c r="F105" s="17">
        <f t="shared" si="21"/>
        <v>11.35</v>
      </c>
      <c r="G105" s="17">
        <f t="shared" si="21"/>
        <v>10.26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278567.11</v>
      </c>
      <c r="D108" s="16">
        <f>'Income Statement'!D5</f>
        <v>339639</v>
      </c>
      <c r="E108" s="16">
        <f>'Income Statement'!E5</f>
        <v>328608.96999999997</v>
      </c>
      <c r="F108" s="16">
        <f>'Income Statement'!F5</f>
        <v>303229.69</v>
      </c>
      <c r="G108" s="16">
        <f>'Income Statement'!G5</f>
        <v>432569.62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5209.28</v>
      </c>
      <c r="D109" s="16">
        <f>'Balance Sheet'!D37</f>
        <v>6906.25</v>
      </c>
      <c r="E109" s="16">
        <f>'Balance Sheet'!E37</f>
        <v>5378.02</v>
      </c>
      <c r="F109" s="16">
        <f>'Balance Sheet'!F37</f>
        <v>7834.77</v>
      </c>
      <c r="G109" s="16">
        <f>'Balance Sheet'!G37</f>
        <v>9707.4699999999993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53.48</v>
      </c>
      <c r="D110" s="17">
        <f t="shared" ref="D110:G110" si="22">ROUND(D108/D109, 2)</f>
        <v>49.18</v>
      </c>
      <c r="E110" s="17">
        <f t="shared" si="22"/>
        <v>61.1</v>
      </c>
      <c r="F110" s="17">
        <f t="shared" si="22"/>
        <v>38.700000000000003</v>
      </c>
      <c r="G110" s="17">
        <f t="shared" si="22"/>
        <v>44.56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278567.11</v>
      </c>
      <c r="D113" s="16">
        <f>'Income Statement'!D5</f>
        <v>339639</v>
      </c>
      <c r="E113" s="16">
        <f>'Income Statement'!E5</f>
        <v>328608.96999999997</v>
      </c>
      <c r="F113" s="16">
        <f>'Income Statement'!F5</f>
        <v>303229.69</v>
      </c>
      <c r="G113" s="16">
        <f>'Income Statement'!G5</f>
        <v>432569.62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45260.94</v>
      </c>
      <c r="D114" s="16">
        <f>'Balance Sheet'!D23</f>
        <v>48971.28</v>
      </c>
      <c r="E114" s="16">
        <f>'Balance Sheet'!E23</f>
        <v>59793.97</v>
      </c>
      <c r="F114" s="16">
        <f>'Balance Sheet'!F23</f>
        <v>63588.89</v>
      </c>
      <c r="G114" s="16">
        <f>'Balance Sheet'!G23</f>
        <v>98130.43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6.15</v>
      </c>
      <c r="D115" s="17">
        <f t="shared" ref="D115:G115" si="23">ROUND(D113/D114, 2)</f>
        <v>6.94</v>
      </c>
      <c r="E115" s="17">
        <f t="shared" si="23"/>
        <v>5.5</v>
      </c>
      <c r="F115" s="17">
        <f t="shared" si="23"/>
        <v>4.7699999999999996</v>
      </c>
      <c r="G115" s="17">
        <f t="shared" si="23"/>
        <v>4.41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90110.77</v>
      </c>
      <c r="D118" s="16">
        <f>'Income Statement'!D11</f>
        <v>130693.29</v>
      </c>
      <c r="E118" s="16">
        <f>'Income Statement'!E11</f>
        <v>121896.01</v>
      </c>
      <c r="F118" s="16">
        <f>'Income Statement'!F11</f>
        <v>78778.039999999994</v>
      </c>
      <c r="G118" s="16">
        <f>'Income Statement'!G11</f>
        <v>163541.19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39312.69</v>
      </c>
      <c r="D119" s="16">
        <f>'Balance Sheet'!D19</f>
        <v>46389.08</v>
      </c>
      <c r="E119" s="16">
        <f>'Balance Sheet'!E19</f>
        <v>50271.93</v>
      </c>
      <c r="F119" s="16">
        <f>'Balance Sheet'!F19</f>
        <v>62529.440000000002</v>
      </c>
      <c r="G119" s="16">
        <f>'Balance Sheet'!G19</f>
        <v>73314.61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2.29</v>
      </c>
      <c r="D120" s="17">
        <f t="shared" ref="D120:G120" si="24">ROUND(D118/D119, 2)</f>
        <v>2.82</v>
      </c>
      <c r="E120" s="17">
        <f t="shared" si="24"/>
        <v>2.42</v>
      </c>
      <c r="F120" s="17">
        <f t="shared" si="24"/>
        <v>1.26</v>
      </c>
      <c r="G120" s="17">
        <f t="shared" si="24"/>
        <v>2.23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278567.11</v>
      </c>
      <c r="D123" s="16">
        <f>'Income Statement'!D5</f>
        <v>339639</v>
      </c>
      <c r="E123" s="16">
        <f>'Income Statement'!E5</f>
        <v>328608.96999999997</v>
      </c>
      <c r="F123" s="16">
        <f>'Income Statement'!F5</f>
        <v>303229.69</v>
      </c>
      <c r="G123" s="16">
        <f>'Income Statement'!G5</f>
        <v>432569.62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22530.94</v>
      </c>
      <c r="D124" s="16">
        <f>'Balance Sheet'!D36</f>
        <v>22934.87</v>
      </c>
      <c r="E124" s="16">
        <f>'Balance Sheet'!E36</f>
        <v>22242.6</v>
      </c>
      <c r="F124" s="16">
        <f>'Balance Sheet'!F36</f>
        <v>26706.02</v>
      </c>
      <c r="G124" s="16">
        <f>'Balance Sheet'!G36</f>
        <v>42178.74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29.52</v>
      </c>
      <c r="D125" s="17">
        <f t="shared" ref="D125:G125" si="25">ROUND(365/D123*D124, 2)</f>
        <v>24.65</v>
      </c>
      <c r="E125" s="17">
        <f t="shared" si="25"/>
        <v>24.71</v>
      </c>
      <c r="F125" s="17">
        <f t="shared" si="25"/>
        <v>32.15</v>
      </c>
      <c r="G125" s="17">
        <f t="shared" si="25"/>
        <v>35.590000000000003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90110.77</v>
      </c>
      <c r="D128" s="16">
        <f>'Income Statement'!D11</f>
        <v>130693.29</v>
      </c>
      <c r="E128" s="16">
        <f>'Income Statement'!E11</f>
        <v>121896.01</v>
      </c>
      <c r="F128" s="16">
        <f>'Income Statement'!F11</f>
        <v>78778.039999999994</v>
      </c>
      <c r="G128" s="16">
        <f>'Income Statement'!G11</f>
        <v>163541.19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39312.69</v>
      </c>
      <c r="D129" s="16">
        <f>'Balance Sheet'!D19</f>
        <v>46389.08</v>
      </c>
      <c r="E129" s="16">
        <f>'Balance Sheet'!E19</f>
        <v>50271.93</v>
      </c>
      <c r="F129" s="16">
        <f>'Balance Sheet'!F19</f>
        <v>62529.440000000002</v>
      </c>
      <c r="G129" s="16">
        <f>'Balance Sheet'!G19</f>
        <v>73314.61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159.24</v>
      </c>
      <c r="D130" s="17">
        <f t="shared" ref="D130:G130" si="26">ROUND(365/D128*D129, 2)</f>
        <v>129.56</v>
      </c>
      <c r="E130" s="17">
        <f t="shared" si="26"/>
        <v>150.53</v>
      </c>
      <c r="F130" s="17">
        <f t="shared" si="26"/>
        <v>289.72000000000003</v>
      </c>
      <c r="G130" s="17">
        <f t="shared" si="26"/>
        <v>163.63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278567.11</v>
      </c>
      <c r="D133" s="16">
        <f>'Income Statement'!D5</f>
        <v>339639</v>
      </c>
      <c r="E133" s="16">
        <f>'Income Statement'!E5</f>
        <v>328608.96999999997</v>
      </c>
      <c r="F133" s="16">
        <f>'Income Statement'!F5</f>
        <v>303229.69</v>
      </c>
      <c r="G133" s="16">
        <f>'Income Statement'!G5</f>
        <v>432569.62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5209.28</v>
      </c>
      <c r="D134" s="16">
        <f>'Balance Sheet'!D37</f>
        <v>6906.25</v>
      </c>
      <c r="E134" s="16">
        <f>'Balance Sheet'!E37</f>
        <v>5378.02</v>
      </c>
      <c r="F134" s="16">
        <f>'Balance Sheet'!F37</f>
        <v>7834.77</v>
      </c>
      <c r="G134" s="16">
        <f>'Balance Sheet'!G37</f>
        <v>9707.4699999999993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6.83</v>
      </c>
      <c r="D135" s="17">
        <f t="shared" ref="D135:G135" si="27">ROUND(365/D133*D134, 2)</f>
        <v>7.42</v>
      </c>
      <c r="E135" s="17">
        <f t="shared" si="27"/>
        <v>5.97</v>
      </c>
      <c r="F135" s="17">
        <f t="shared" si="27"/>
        <v>9.43</v>
      </c>
      <c r="G135" s="17">
        <f t="shared" si="27"/>
        <v>8.19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278567.11</v>
      </c>
      <c r="D138" s="16">
        <f>'Income Statement'!D5</f>
        <v>339639</v>
      </c>
      <c r="E138" s="16">
        <f>'Income Statement'!E5</f>
        <v>328608.96999999997</v>
      </c>
      <c r="F138" s="16">
        <f>'Income Statement'!F5</f>
        <v>303229.69</v>
      </c>
      <c r="G138" s="16">
        <f>'Income Statement'!G5</f>
        <v>432569.62</v>
      </c>
    </row>
    <row r="139" spans="2:12" ht="18.75" x14ac:dyDescent="0.25">
      <c r="B139" s="15" t="str">
        <f>'Balance Sheet'!B36</f>
        <v>Inventories</v>
      </c>
      <c r="C139" s="16">
        <f>'Balance Sheet'!C36</f>
        <v>22530.94</v>
      </c>
      <c r="D139" s="16">
        <f>'Balance Sheet'!D36</f>
        <v>22934.87</v>
      </c>
      <c r="E139" s="16">
        <f>'Balance Sheet'!E36</f>
        <v>22242.6</v>
      </c>
      <c r="F139" s="16">
        <f>'Balance Sheet'!F36</f>
        <v>26706.02</v>
      </c>
      <c r="G139" s="16">
        <f>'Balance Sheet'!G36</f>
        <v>42178.74</v>
      </c>
    </row>
    <row r="140" spans="2:12" ht="18.75" x14ac:dyDescent="0.25">
      <c r="B140" s="15" t="s">
        <v>192</v>
      </c>
      <c r="C140" s="16">
        <f>ROUND(365/C138*C139, 2)</f>
        <v>29.52</v>
      </c>
      <c r="D140" s="16">
        <f t="shared" ref="D140:G140" si="28">ROUND(365/D138*D139, 2)</f>
        <v>24.65</v>
      </c>
      <c r="E140" s="16">
        <f t="shared" si="28"/>
        <v>24.71</v>
      </c>
      <c r="F140" s="16">
        <f t="shared" si="28"/>
        <v>32.15</v>
      </c>
      <c r="G140" s="16">
        <f t="shared" si="28"/>
        <v>35.590000000000003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90110.77</v>
      </c>
      <c r="D141" s="16">
        <f>'Income Statement'!D11</f>
        <v>130693.29</v>
      </c>
      <c r="E141" s="16">
        <f>'Income Statement'!E11</f>
        <v>121896.01</v>
      </c>
      <c r="F141" s="16">
        <f>'Income Statement'!F11</f>
        <v>78778.039999999994</v>
      </c>
      <c r="G141" s="16">
        <f>'Income Statement'!G11</f>
        <v>163541.19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39312.69</v>
      </c>
      <c r="D142" s="16">
        <f>'Balance Sheet'!D19</f>
        <v>46389.08</v>
      </c>
      <c r="E142" s="16">
        <f>'Balance Sheet'!E19</f>
        <v>50271.93</v>
      </c>
      <c r="F142" s="16">
        <f>'Balance Sheet'!F19</f>
        <v>62529.440000000002</v>
      </c>
      <c r="G142" s="16">
        <f>'Balance Sheet'!G19</f>
        <v>73314.61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159.24</v>
      </c>
      <c r="D143" s="16">
        <f t="shared" ref="D143:G143" si="29">ROUND(365/D141*D142, 2)</f>
        <v>129.56</v>
      </c>
      <c r="E143" s="16">
        <f t="shared" si="29"/>
        <v>150.53</v>
      </c>
      <c r="F143" s="16">
        <f t="shared" si="29"/>
        <v>289.72000000000003</v>
      </c>
      <c r="G143" s="16">
        <f t="shared" si="29"/>
        <v>163.63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188.76</v>
      </c>
      <c r="D144" s="28">
        <f t="shared" ref="D144:G144" si="30">ROUND(D143+D140, 2)</f>
        <v>154.21</v>
      </c>
      <c r="E144" s="28">
        <f t="shared" si="30"/>
        <v>175.24</v>
      </c>
      <c r="F144" s="28">
        <f t="shared" si="30"/>
        <v>321.87</v>
      </c>
      <c r="G144" s="28">
        <f t="shared" si="30"/>
        <v>199.22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278567.11</v>
      </c>
      <c r="D147" s="16">
        <f>'Income Statement'!D5</f>
        <v>339639</v>
      </c>
      <c r="E147" s="16">
        <f>'Income Statement'!E5</f>
        <v>328608.96999999997</v>
      </c>
      <c r="F147" s="16">
        <f>'Income Statement'!F5</f>
        <v>303229.69</v>
      </c>
      <c r="G147" s="16">
        <f>'Income Statement'!G5</f>
        <v>432569.62</v>
      </c>
    </row>
    <row r="148" spans="2:12" ht="18.75" x14ac:dyDescent="0.25">
      <c r="B148" s="15" t="str">
        <f>'Balance Sheet'!B36</f>
        <v>Inventories</v>
      </c>
      <c r="C148" s="16">
        <f>'Balance Sheet'!C36</f>
        <v>22530.94</v>
      </c>
      <c r="D148" s="16">
        <f>'Balance Sheet'!D36</f>
        <v>22934.87</v>
      </c>
      <c r="E148" s="16">
        <f>'Balance Sheet'!E36</f>
        <v>22242.6</v>
      </c>
      <c r="F148" s="16">
        <f>'Balance Sheet'!F36</f>
        <v>26706.02</v>
      </c>
      <c r="G148" s="16">
        <f>'Balance Sheet'!G36</f>
        <v>42178.74</v>
      </c>
    </row>
    <row r="149" spans="2:12" ht="18.75" x14ac:dyDescent="0.25">
      <c r="B149" s="15" t="s">
        <v>192</v>
      </c>
      <c r="C149" s="16">
        <f>ROUND(365/C147*C148, 2)</f>
        <v>29.52</v>
      </c>
      <c r="D149" s="16">
        <f t="shared" ref="D149:G149" si="31">ROUND(365/D147*D148, 2)</f>
        <v>24.65</v>
      </c>
      <c r="E149" s="16">
        <f t="shared" si="31"/>
        <v>24.71</v>
      </c>
      <c r="F149" s="16">
        <f t="shared" si="31"/>
        <v>32.15</v>
      </c>
      <c r="G149" s="16">
        <f t="shared" si="31"/>
        <v>35.590000000000003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90110.77</v>
      </c>
      <c r="D150" s="16">
        <f>'Income Statement'!D11</f>
        <v>130693.29</v>
      </c>
      <c r="E150" s="16">
        <f>'Income Statement'!E11</f>
        <v>121896.01</v>
      </c>
      <c r="F150" s="16">
        <f>'Income Statement'!F11</f>
        <v>78778.039999999994</v>
      </c>
      <c r="G150" s="16">
        <f>'Income Statement'!G11</f>
        <v>163541.19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39312.69</v>
      </c>
      <c r="D151" s="16">
        <f>'Balance Sheet'!D19</f>
        <v>46389.08</v>
      </c>
      <c r="E151" s="16">
        <f>'Balance Sheet'!E19</f>
        <v>50271.93</v>
      </c>
      <c r="F151" s="16">
        <f>'Balance Sheet'!F19</f>
        <v>62529.440000000002</v>
      </c>
      <c r="G151" s="16">
        <f>'Balance Sheet'!G19</f>
        <v>73314.61</v>
      </c>
    </row>
    <row r="152" spans="2:12" ht="18.75" x14ac:dyDescent="0.25">
      <c r="B152" s="15" t="s">
        <v>194</v>
      </c>
      <c r="C152" s="16">
        <f>ROUND(365/C150*C151, 2)</f>
        <v>159.24</v>
      </c>
      <c r="D152" s="16">
        <f t="shared" ref="D152:G152" si="32">ROUND(365/D150*D151, 2)</f>
        <v>129.56</v>
      </c>
      <c r="E152" s="16">
        <f t="shared" si="32"/>
        <v>150.53</v>
      </c>
      <c r="F152" s="16">
        <f t="shared" si="32"/>
        <v>289.72000000000003</v>
      </c>
      <c r="G152" s="16">
        <f t="shared" si="32"/>
        <v>163.63</v>
      </c>
    </row>
    <row r="153" spans="2:12" ht="18.75" x14ac:dyDescent="0.25">
      <c r="B153" s="15" t="s">
        <v>200</v>
      </c>
      <c r="C153" s="16">
        <f>ROUND(C152+C149, 2)</f>
        <v>188.76</v>
      </c>
      <c r="D153" s="16">
        <f t="shared" ref="D153:G153" si="33">ROUND(D152+D149, 2)</f>
        <v>154.21</v>
      </c>
      <c r="E153" s="16">
        <f t="shared" si="33"/>
        <v>175.24</v>
      </c>
      <c r="F153" s="16">
        <f t="shared" si="33"/>
        <v>321.87</v>
      </c>
      <c r="G153" s="16">
        <f t="shared" si="33"/>
        <v>199.22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90110.77</v>
      </c>
      <c r="D154" s="16">
        <f>'Income Statement'!D11</f>
        <v>130693.29</v>
      </c>
      <c r="E154" s="16">
        <f>'Income Statement'!E11</f>
        <v>121896.01</v>
      </c>
      <c r="F154" s="16">
        <f>'Income Statement'!F11</f>
        <v>78778.039999999994</v>
      </c>
      <c r="G154" s="16">
        <f>'Income Statement'!G11</f>
        <v>163541.19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39312.69</v>
      </c>
      <c r="D155" s="16">
        <f>'Balance Sheet'!D19</f>
        <v>46389.08</v>
      </c>
      <c r="E155" s="16">
        <f>'Balance Sheet'!E19</f>
        <v>50271.93</v>
      </c>
      <c r="F155" s="16">
        <f>'Balance Sheet'!F19</f>
        <v>62529.440000000002</v>
      </c>
      <c r="G155" s="16">
        <f>'Balance Sheet'!G19</f>
        <v>73314.61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159.24</v>
      </c>
      <c r="D156" s="16">
        <f t="shared" ref="D156:G156" si="34">ROUND(365/D154*D155, 2)</f>
        <v>129.56</v>
      </c>
      <c r="E156" s="16">
        <f t="shared" si="34"/>
        <v>150.53</v>
      </c>
      <c r="F156" s="16">
        <f t="shared" si="34"/>
        <v>289.72000000000003</v>
      </c>
      <c r="G156" s="16">
        <f t="shared" si="34"/>
        <v>163.63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-29.52</v>
      </c>
      <c r="D157" s="28">
        <f t="shared" ref="D157:G157" si="35">ROUND(D156-D153, 2)</f>
        <v>-24.65</v>
      </c>
      <c r="E157" s="28">
        <f t="shared" si="35"/>
        <v>-24.71</v>
      </c>
      <c r="F157" s="28">
        <f t="shared" si="35"/>
        <v>-32.15</v>
      </c>
      <c r="G157" s="28">
        <f t="shared" si="35"/>
        <v>-35.590000000000003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F51019E1-CDF4-4BF4-BD71-9DC1C47700A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2426029D-9B7A-4353-AA2E-C1899C06FC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764849A0-D488-4D4E-A7FC-A63576DE37E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531CF5AE-C69C-4A49-829B-DFC35B483A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6B645B3E-AC72-4A11-9CF9-E465AB36CAC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7752DF99-6A90-4390-AF0D-A4978D816E3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5877C763-10BC-43C8-B535-EEA484B4EFA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94EE1F56-7B11-4C5F-A2BE-D0221A8E1D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109667F4-B15A-47E3-8A3A-F5D8EC26994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CCC88D6E-1DB8-435A-A2FA-310E6589BBF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705D4D27-7DE7-40BD-8C6D-D7498BF721C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1F819BCD-B266-4ABC-B52C-6FAFEB8F24D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5525836C-52BD-4086-B03D-4BAA99A782E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8747AE7D-2B26-4D56-A2F2-62F7434ECD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D66AF35A-F0D8-430B-B5EA-6ABC260EB7B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484C8692-6882-4FE0-B0C5-7F8B81ED0D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1DD0428E-A9EE-4F65-ABD0-4B8DEAF7A9C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9080AC3C-1F61-4119-914B-3F95A6695C5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FC4E0453-B626-4888-B84A-195EBB52C2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82D93FF3-277C-4E2F-8C97-420469CA53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5FAB8D18-1429-47C6-AC71-F5DDF062519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0A7BB855-630E-40E8-ADD9-F2F28F9493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55CCBD9F-C1A4-4572-833D-552C724E148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476E5D50-2A52-404D-AC62-8BFB6B9E81E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6D615017-333E-4FB4-AA2D-0019B3D224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A37FD99E-C4BF-43E2-B54B-CCA741D210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E5861AA4-E7B1-4371-96B6-37542BF5A12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584F7-269B-45F5-B57C-881D0D27078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119633.07999999997</v>
      </c>
      <c r="D6" s="16">
        <f>'Income Statement'!D27</f>
        <v>136799.53999999998</v>
      </c>
      <c r="E6" s="16">
        <f>'Income Statement'!E27</f>
        <v>131773.03999999998</v>
      </c>
      <c r="F6" s="16">
        <f>'Income Statement'!F27</f>
        <v>125229.48999999999</v>
      </c>
      <c r="G6" s="16">
        <f>'Income Statement'!G27</f>
        <v>150005.84999999995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</row>
    <row r="8" spans="2:7" ht="18.75" x14ac:dyDescent="0.25">
      <c r="B8" s="17" t="s">
        <v>146</v>
      </c>
      <c r="C8" s="17">
        <f>ROUND(C6/C7, 2)</f>
        <v>46</v>
      </c>
      <c r="D8" s="17">
        <f t="shared" ref="D8:G8" si="0">ROUND(D6/D7, 2)</f>
        <v>40</v>
      </c>
      <c r="E8" s="17">
        <f t="shared" si="0"/>
        <v>16</v>
      </c>
      <c r="F8" s="17">
        <f t="shared" si="0"/>
        <v>82</v>
      </c>
      <c r="G8" s="17">
        <f t="shared" si="0"/>
        <v>55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843CC9-1491-42C0-9606-BC567585207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2884.76</v>
      </c>
      <c r="D6" s="16">
        <f>'Income Statement'!D28</f>
        <v>3540.39</v>
      </c>
      <c r="E6" s="16">
        <f>'Income Statement'!E28</f>
        <v>4818.8599999999997</v>
      </c>
      <c r="F6" s="16">
        <f>'Income Statement'!F28</f>
        <v>4555.43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</row>
    <row r="8" spans="2:7" ht="18.75" x14ac:dyDescent="0.25">
      <c r="B8" s="17" t="s">
        <v>148</v>
      </c>
      <c r="C8" s="17">
        <f>ROUND(C6/C7, 2)</f>
        <v>1.1100000000000001</v>
      </c>
      <c r="D8" s="17">
        <f t="shared" ref="D8:G8" si="0">ROUND(D6/D7, 2)</f>
        <v>1.04</v>
      </c>
      <c r="E8" s="17">
        <f t="shared" si="0"/>
        <v>0.59</v>
      </c>
      <c r="F8" s="17">
        <f t="shared" si="0"/>
        <v>2.98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EDB013-216E-4C04-94BB-5A7FDF4D486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36618.57</v>
      </c>
      <c r="D6" s="16">
        <f>'Balance Sheet'!D9</f>
        <v>169075.95999999996</v>
      </c>
      <c r="E6" s="16">
        <f>'Balance Sheet'!E9</f>
        <v>294938.91999999993</v>
      </c>
      <c r="F6" s="16">
        <f>'Balance Sheet'!F9</f>
        <v>415738.99999999988</v>
      </c>
      <c r="G6" s="16">
        <f>'Balance Sheet'!G9</f>
        <v>565781.38999999978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2600.7191304347821</v>
      </c>
      <c r="D7" s="16">
        <f>'Income Statement'!D35</f>
        <v>3419.9884999999995</v>
      </c>
      <c r="E7" s="16">
        <f>'Income Statement'!E35</f>
        <v>8235.8149999999987</v>
      </c>
      <c r="F7" s="16">
        <f>'Income Statement'!F35</f>
        <v>1527.1889024390243</v>
      </c>
      <c r="G7" s="16">
        <f>'Income Statement'!G35</f>
        <v>2727.3790909090899</v>
      </c>
    </row>
    <row r="8" spans="2:7" ht="18.75" x14ac:dyDescent="0.25">
      <c r="B8" s="17" t="s">
        <v>150</v>
      </c>
      <c r="C8" s="17">
        <f>ROUND(C6/C7, 2)</f>
        <v>14.08</v>
      </c>
      <c r="D8" s="17">
        <f t="shared" ref="D8:G8" si="0">ROUND(D6/D7, 2)</f>
        <v>49.44</v>
      </c>
      <c r="E8" s="17">
        <f t="shared" si="0"/>
        <v>35.81</v>
      </c>
      <c r="F8" s="17">
        <f t="shared" si="0"/>
        <v>272.23</v>
      </c>
      <c r="G8" s="17">
        <f t="shared" si="0"/>
        <v>207.45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2022-07-03T11:03:17Z</dcterms:created>
  <dcterms:modified xsi:type="dcterms:W3CDTF">2022-07-04T07:12:58Z</dcterms:modified>
</cp:coreProperties>
</file>