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6C886F2F-4E63-4EF7-828B-B847BAD1950A}" xr6:coauthVersionLast="47" xr6:coauthVersionMax="47" xr10:uidLastSave="{00000000-0000-0000-0000-000000000000}"/>
  <bookViews>
    <workbookView xWindow="-120" yWindow="-120" windowWidth="20730" windowHeight="11160" firstSheet="42" activeTab="44" xr2:uid="{81A43ED9-C4F3-43FD-9C6B-238598D8CD34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 s="1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30" i="4"/>
  <c r="D26" i="4"/>
  <c r="E26" i="4"/>
  <c r="E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39" i="4"/>
  <c r="C30" i="4"/>
  <c r="C40" i="4" s="1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/>
  <c r="G8" i="4"/>
  <c r="G9" i="4" s="1"/>
  <c r="G21" i="4" s="1"/>
  <c r="F9" i="4"/>
  <c r="F21" i="4" s="1"/>
  <c r="F38" i="4" l="1"/>
  <c r="E39" i="4"/>
  <c r="E40" i="4" s="1"/>
  <c r="G38" i="4" l="1"/>
  <c r="G39" i="4" s="1"/>
  <c r="G40" i="4" s="1"/>
  <c r="F39" i="4"/>
  <c r="F40" i="4" s="1"/>
</calcChain>
</file>

<file path=xl/sharedStrings.xml><?xml version="1.0" encoding="utf-8"?>
<sst xmlns="http://schemas.openxmlformats.org/spreadsheetml/2006/main" count="490" uniqueCount="203">
  <si>
    <t>Balance Sheet of Asian Star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</si>
  <si>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</si>
  <si>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</si>
  <si>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</si>
  <si>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</si>
  <si>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</si>
  <si>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</si>
  <si>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</si>
  <si>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</si>
  <si>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</si>
  <si>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</si>
  <si>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</si>
  <si>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</si>
  <si>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</si>
  <si>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</si>
  <si>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</si>
  <si>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</si>
  <si>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</si>
  <si>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</si>
  <si>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</si>
  <si>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</si>
  <si>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</si>
  <si>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</si>
  <si>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</si>
  <si>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</si>
  <si>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</si>
  <si>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</si>
  <si>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</si>
  <si>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</si>
  <si>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</si>
  <si>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</si>
  <si>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</si>
  <si>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</si>
  <si>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</si>
  <si>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</si>
  <si>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</si>
  <si>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</si>
  <si>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</si>
  <si>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</si>
  <si>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</si>
  <si>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</si>
  <si>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</si>
  <si>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</si>
  <si>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</si>
  <si>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</si>
  <si>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</si>
  <si>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</si>
  <si>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</si>
  <si>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</si>
  <si>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</si>
  <si>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</si>
  <si>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</si>
  <si>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</si>
  <si>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</si>
  <si>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</si>
  <si>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Asian Star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</si>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</sst>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C06-4690-9185-63F9AC717FA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C06-4690-9185-63F9AC717FA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C06-4690-9185-63F9AC717FA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68</c:v>
                </c:pt>
                <c:pt idx="1">
                  <c:v>72</c:v>
                </c:pt>
                <c:pt idx="2">
                  <c:v>40</c:v>
                </c:pt>
                <c:pt idx="3">
                  <c:v>40</c:v>
                </c:pt>
                <c:pt idx="4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C06-4690-9185-63F9AC717F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463112"/>
        <c:axId val="555458192"/>
      </c:lineChart>
      <c:catAx>
        <c:axId val="555463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58192"/>
        <c:crosses val="autoZero"/>
        <c:auto val="0"/>
        <c:lblAlgn val="ctr"/>
        <c:lblOffset val="100"/>
        <c:noMultiLvlLbl val="0"/>
      </c:catAx>
      <c:valAx>
        <c:axId val="555458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54631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0.71</c:v>
                </c:pt>
                <c:pt idx="1">
                  <c:v>0.3</c:v>
                </c:pt>
                <c:pt idx="2">
                  <c:v>0.18</c:v>
                </c:pt>
                <c:pt idx="3">
                  <c:v>0.14000000000000001</c:v>
                </c:pt>
                <c:pt idx="4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01F-47BC-B2A9-CB12E76D5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772864"/>
        <c:axId val="560414856"/>
      </c:lineChart>
      <c:catAx>
        <c:axId val="5587728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14856"/>
        <c:crosses val="autoZero"/>
        <c:auto val="0"/>
        <c:lblAlgn val="ctr"/>
        <c:lblOffset val="100"/>
        <c:noMultiLvlLbl val="0"/>
      </c:catAx>
      <c:valAx>
        <c:axId val="5604148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87728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F63-455A-B055-C385F66A8F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0.91</c:v>
                </c:pt>
                <c:pt idx="1">
                  <c:v>0.31</c:v>
                </c:pt>
                <c:pt idx="2">
                  <c:v>0.19</c:v>
                </c:pt>
                <c:pt idx="3">
                  <c:v>0.11</c:v>
                </c:pt>
                <c:pt idx="4">
                  <c:v>0.14000000000000001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63-455A-B055-C385F66A8F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4728"/>
        <c:axId val="364049320"/>
      </c:lineChart>
      <c:catAx>
        <c:axId val="36404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9320"/>
        <c:crosses val="autoZero"/>
        <c:auto val="0"/>
        <c:lblAlgn val="ctr"/>
        <c:lblOffset val="100"/>
        <c:noMultiLvlLbl val="0"/>
      </c:catAx>
      <c:valAx>
        <c:axId val="364049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4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3D0-4634-A62C-914606EE3E0D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3D0-4634-A62C-914606EE3E0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4.4400000000000004</c:v>
                </c:pt>
                <c:pt idx="1">
                  <c:v>12.37</c:v>
                </c:pt>
                <c:pt idx="2">
                  <c:v>27.48</c:v>
                </c:pt>
                <c:pt idx="3">
                  <c:v>23.11</c:v>
                </c:pt>
                <c:pt idx="4">
                  <c:v>15.66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3D0-4634-A62C-914606EE3E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6576"/>
        <c:axId val="104320384"/>
      </c:lineChart>
      <c:catAx>
        <c:axId val="44076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20384"/>
        <c:crosses val="autoZero"/>
        <c:auto val="0"/>
        <c:lblAlgn val="ctr"/>
        <c:lblOffset val="100"/>
        <c:noMultiLvlLbl val="0"/>
      </c:catAx>
      <c:valAx>
        <c:axId val="104320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076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C03-4C71-A6DB-E35D1520C77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C03-4C71-A6DB-E35D1520C77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3.17</c:v>
                </c:pt>
                <c:pt idx="1">
                  <c:v>10.07</c:v>
                </c:pt>
                <c:pt idx="2">
                  <c:v>23.97</c:v>
                </c:pt>
                <c:pt idx="3">
                  <c:v>21.19</c:v>
                </c:pt>
                <c:pt idx="4">
                  <c:v>14.24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C03-4C71-A6DB-E35D1520C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6368"/>
        <c:axId val="364048664"/>
      </c:lineChart>
      <c:catAx>
        <c:axId val="36404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8664"/>
        <c:crosses val="autoZero"/>
        <c:auto val="0"/>
        <c:lblAlgn val="ctr"/>
        <c:lblOffset val="100"/>
        <c:noMultiLvlLbl val="0"/>
      </c:catAx>
      <c:valAx>
        <c:axId val="364048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6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8C3-46A0-8BD7-28E3BD1F6404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8C3-46A0-8BD7-28E3BD1F640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8C3-46A0-8BD7-28E3BD1F640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47.2</c:v>
                </c:pt>
                <c:pt idx="1">
                  <c:v>55.51</c:v>
                </c:pt>
                <c:pt idx="2">
                  <c:v>71.900000000000006</c:v>
                </c:pt>
                <c:pt idx="3">
                  <c:v>424.46</c:v>
                </c:pt>
                <c:pt idx="4">
                  <c:v>17.37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8C3-46A0-8BD7-28E3BD1F64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416168"/>
        <c:axId val="560417480"/>
      </c:lineChart>
      <c:catAx>
        <c:axId val="560416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417480"/>
        <c:crosses val="autoZero"/>
        <c:auto val="0"/>
        <c:lblAlgn val="ctr"/>
        <c:lblOffset val="100"/>
        <c:noMultiLvlLbl val="0"/>
      </c:catAx>
      <c:valAx>
        <c:axId val="5604174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04161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F9E-4CDE-872D-C26EBA55113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0.53</c:v>
                </c:pt>
                <c:pt idx="1">
                  <c:v>0.49</c:v>
                </c:pt>
                <c:pt idx="2">
                  <c:v>0.4</c:v>
                </c:pt>
                <c:pt idx="3">
                  <c:v>0.28999999999999998</c:v>
                </c:pt>
                <c:pt idx="4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F9E-4CDE-872D-C26EBA5511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984"/>
        <c:axId val="449421408"/>
      </c:lineChart>
      <c:catAx>
        <c:axId val="449426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1408"/>
        <c:crosses val="autoZero"/>
        <c:auto val="0"/>
        <c:lblAlgn val="ctr"/>
        <c:lblOffset val="100"/>
        <c:noMultiLvlLbl val="0"/>
      </c:catAx>
      <c:valAx>
        <c:axId val="449421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69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F5B-40AC-BF42-2BE21EE817E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F5B-40AC-BF42-2BE21EE817E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F5B-40AC-BF42-2BE21EE817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71.27</c:v>
                </c:pt>
                <c:pt idx="1">
                  <c:v>338.56</c:v>
                </c:pt>
                <c:pt idx="2">
                  <c:v>902.19</c:v>
                </c:pt>
                <c:pt idx="3">
                  <c:v>2190.9699999999998</c:v>
                </c:pt>
                <c:pt idx="4">
                  <c:v>417.64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F5B-40AC-BF42-2BE21EE817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129528"/>
        <c:axId val="547131824"/>
      </c:lineChart>
      <c:catAx>
        <c:axId val="547129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131824"/>
        <c:crosses val="autoZero"/>
        <c:auto val="0"/>
        <c:lblAlgn val="ctr"/>
        <c:lblOffset val="100"/>
        <c:noMultiLvlLbl val="0"/>
      </c:catAx>
      <c:valAx>
        <c:axId val="5471318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71295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2EF-45CF-9454-7B509859B11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2EF-45CF-9454-7B509859B110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2EF-45CF-9454-7B509859B1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404.85</c:v>
                </c:pt>
                <c:pt idx="1">
                  <c:v>1651.48</c:v>
                </c:pt>
                <c:pt idx="2">
                  <c:v>2983.66</c:v>
                </c:pt>
                <c:pt idx="3">
                  <c:v>4450.9799999999996</c:v>
                </c:pt>
                <c:pt idx="4">
                  <c:v>4398.78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2EF-45CF-9454-7B509859B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7131168"/>
        <c:axId val="547130840"/>
      </c:lineChart>
      <c:catAx>
        <c:axId val="54713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7130840"/>
        <c:crosses val="autoZero"/>
        <c:auto val="0"/>
        <c:lblAlgn val="ctr"/>
        <c:lblOffset val="100"/>
        <c:noMultiLvlLbl val="0"/>
      </c:catAx>
      <c:valAx>
        <c:axId val="547130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71311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E2E-4E23-8B74-041C4EFCEC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1.69</c:v>
                </c:pt>
                <c:pt idx="1">
                  <c:v>1.08</c:v>
                </c:pt>
                <c:pt idx="2">
                  <c:v>0.66</c:v>
                </c:pt>
                <c:pt idx="3">
                  <c:v>0.42</c:v>
                </c:pt>
                <c:pt idx="4">
                  <c:v>0.68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E2E-4E23-8B74-041C4EFCEC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317104"/>
        <c:axId val="555258568"/>
      </c:lineChart>
      <c:catAx>
        <c:axId val="10431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258568"/>
        <c:crosses val="autoZero"/>
        <c:auto val="0"/>
        <c:lblAlgn val="ctr"/>
        <c:lblOffset val="100"/>
        <c:noMultiLvlLbl val="0"/>
      </c:catAx>
      <c:valAx>
        <c:axId val="555258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43171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C47-439B-8213-15FAF604DD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6.98</c:v>
                </c:pt>
                <c:pt idx="1">
                  <c:v>6.43</c:v>
                </c:pt>
                <c:pt idx="2">
                  <c:v>5.51</c:v>
                </c:pt>
                <c:pt idx="3">
                  <c:v>5.24</c:v>
                </c:pt>
                <c:pt idx="4">
                  <c:v>7.83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C47-439B-8213-15FAF604DD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6248"/>
        <c:axId val="553596576"/>
      </c:lineChart>
      <c:catAx>
        <c:axId val="553596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6576"/>
        <c:crosses val="autoZero"/>
        <c:auto val="0"/>
        <c:lblAlgn val="ctr"/>
        <c:lblOffset val="100"/>
        <c:noMultiLvlLbl val="0"/>
      </c:catAx>
      <c:valAx>
        <c:axId val="553596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62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992-4DCA-A2B9-291D03F36AD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0.12</c:v>
                </c:pt>
                <c:pt idx="1">
                  <c:v>0.12</c:v>
                </c:pt>
                <c:pt idx="2">
                  <c:v>7.0000000000000007E-2</c:v>
                </c:pt>
                <c:pt idx="3">
                  <c:v>0.06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992-4DCA-A2B9-291D03F36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461144"/>
        <c:axId val="555461472"/>
      </c:lineChart>
      <c:catAx>
        <c:axId val="55546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61472"/>
        <c:crosses val="autoZero"/>
        <c:auto val="0"/>
        <c:lblAlgn val="ctr"/>
        <c:lblOffset val="100"/>
        <c:noMultiLvlLbl val="0"/>
      </c:catAx>
      <c:valAx>
        <c:axId val="555461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54611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DB1-401C-82D2-4A655338126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DB1-401C-82D2-4A65533812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4.22</c:v>
                </c:pt>
                <c:pt idx="1">
                  <c:v>4.76</c:v>
                </c:pt>
                <c:pt idx="2">
                  <c:v>4.58</c:v>
                </c:pt>
                <c:pt idx="3">
                  <c:v>3.16</c:v>
                </c:pt>
                <c:pt idx="4">
                  <c:v>4.22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DB1-401C-82D2-4A65533812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4688"/>
        <c:axId val="449426000"/>
      </c:lineChart>
      <c:catAx>
        <c:axId val="449424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6000"/>
        <c:crosses val="autoZero"/>
        <c:auto val="0"/>
        <c:lblAlgn val="ctr"/>
        <c:lblOffset val="100"/>
        <c:noMultiLvlLbl val="0"/>
      </c:catAx>
      <c:valAx>
        <c:axId val="449426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46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E3F-4188-8F63-9B5F46886A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13.41</c:v>
                </c:pt>
                <c:pt idx="1">
                  <c:v>13.06</c:v>
                </c:pt>
                <c:pt idx="2">
                  <c:v>11.42</c:v>
                </c:pt>
                <c:pt idx="3">
                  <c:v>10.06</c:v>
                </c:pt>
                <c:pt idx="4">
                  <c:v>19.41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3F-4188-8F63-9B5F46886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1368"/>
        <c:axId val="548323136"/>
      </c:lineChart>
      <c:catAx>
        <c:axId val="54954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3136"/>
        <c:crosses val="autoZero"/>
        <c:auto val="0"/>
        <c:lblAlgn val="ctr"/>
        <c:lblOffset val="100"/>
        <c:noMultiLvlLbl val="0"/>
      </c:catAx>
      <c:valAx>
        <c:axId val="548323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1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D32-4968-B1F7-DFECC815517B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D32-4968-B1F7-DFECC815517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7D32-4968-B1F7-DFECC815517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4.7</c:v>
                </c:pt>
                <c:pt idx="1">
                  <c:v>7.23</c:v>
                </c:pt>
                <c:pt idx="2">
                  <c:v>7.64</c:v>
                </c:pt>
                <c:pt idx="3">
                  <c:v>2.94</c:v>
                </c:pt>
                <c:pt idx="4">
                  <c:v>9.68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32-4968-B1F7-DFECC8155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9608"/>
        <c:axId val="449423048"/>
      </c:lineChart>
      <c:catAx>
        <c:axId val="449429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3048"/>
        <c:crosses val="autoZero"/>
        <c:auto val="0"/>
        <c:lblAlgn val="ctr"/>
        <c:lblOffset val="100"/>
        <c:noMultiLvlLbl val="0"/>
      </c:catAx>
      <c:valAx>
        <c:axId val="4494230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9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980-4FE4-8981-BD768BE6559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980-4FE4-8981-BD768BE6559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C980-4FE4-8981-BD768BE655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52.29</c:v>
                </c:pt>
                <c:pt idx="1">
                  <c:v>56.74</c:v>
                </c:pt>
                <c:pt idx="2">
                  <c:v>66.22</c:v>
                </c:pt>
                <c:pt idx="3">
                  <c:v>69.61</c:v>
                </c:pt>
                <c:pt idx="4">
                  <c:v>46.6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80-4FE4-8981-BD768BE655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0811584"/>
        <c:axId val="560812240"/>
      </c:lineChart>
      <c:catAx>
        <c:axId val="56081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812240"/>
        <c:crosses val="autoZero"/>
        <c:auto val="0"/>
        <c:lblAlgn val="ctr"/>
        <c:lblOffset val="100"/>
        <c:noMultiLvlLbl val="0"/>
      </c:catAx>
      <c:valAx>
        <c:axId val="560812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6081158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FD2-4AC2-8420-FD56B1BE2AA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77.72</c:v>
                </c:pt>
                <c:pt idx="1">
                  <c:v>50.51</c:v>
                </c:pt>
                <c:pt idx="2">
                  <c:v>47.79</c:v>
                </c:pt>
                <c:pt idx="3">
                  <c:v>124.12</c:v>
                </c:pt>
                <c:pt idx="4">
                  <c:v>37.69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FD2-4AC2-8420-FD56B1BE2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328"/>
        <c:axId val="449426656"/>
      </c:lineChart>
      <c:catAx>
        <c:axId val="449426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6656"/>
        <c:crosses val="autoZero"/>
        <c:auto val="0"/>
        <c:lblAlgn val="ctr"/>
        <c:lblOffset val="100"/>
        <c:noMultiLvlLbl val="0"/>
      </c:catAx>
      <c:valAx>
        <c:axId val="449426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63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442-4ECD-AB62-94E34BCEFD8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442-4ECD-AB62-94E34BCEFD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86.44</c:v>
                </c:pt>
                <c:pt idx="1">
                  <c:v>76.7</c:v>
                </c:pt>
                <c:pt idx="2">
                  <c:v>79.760000000000005</c:v>
                </c:pt>
                <c:pt idx="3">
                  <c:v>115.69</c:v>
                </c:pt>
                <c:pt idx="4">
                  <c:v>86.49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42-4ECD-AB62-94E34BCEFD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7224"/>
        <c:axId val="553646896"/>
      </c:lineChart>
      <c:catAx>
        <c:axId val="553647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6896"/>
        <c:crosses val="autoZero"/>
        <c:auto val="0"/>
        <c:lblAlgn val="ctr"/>
        <c:lblOffset val="100"/>
        <c:noMultiLvlLbl val="0"/>
      </c:catAx>
      <c:valAx>
        <c:axId val="553646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72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6168-4C17-B856-112D661A7CE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168-4C17-B856-112D661A7CE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130.01</c:v>
                </c:pt>
                <c:pt idx="1">
                  <c:v>107.25</c:v>
                </c:pt>
                <c:pt idx="2">
                  <c:v>114.01</c:v>
                </c:pt>
                <c:pt idx="3">
                  <c:v>193.73</c:v>
                </c:pt>
                <c:pt idx="4">
                  <c:v>84.29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68-4C17-B856-112D661A7C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8624"/>
        <c:axId val="449430264"/>
      </c:lineChart>
      <c:catAx>
        <c:axId val="44942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264"/>
        <c:crosses val="autoZero"/>
        <c:auto val="0"/>
        <c:lblAlgn val="ctr"/>
        <c:lblOffset val="100"/>
        <c:noMultiLvlLbl val="0"/>
      </c:catAx>
      <c:valAx>
        <c:axId val="449430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94286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BFE-426E-993C-96BDB2C5CE1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-52.29</c:v>
                </c:pt>
                <c:pt idx="1">
                  <c:v>-56.74</c:v>
                </c:pt>
                <c:pt idx="2">
                  <c:v>-66.22</c:v>
                </c:pt>
                <c:pt idx="3">
                  <c:v>-69.61</c:v>
                </c:pt>
                <c:pt idx="4">
                  <c:v>-46.6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BFE-426E-993C-96BDB2C5CE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5459176"/>
        <c:axId val="555448352"/>
      </c:lineChart>
      <c:catAx>
        <c:axId val="555459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48352"/>
        <c:crosses val="autoZero"/>
        <c:auto val="0"/>
        <c:lblAlgn val="ctr"/>
        <c:lblOffset val="100"/>
        <c:noMultiLvlLbl val="0"/>
      </c:catAx>
      <c:valAx>
        <c:axId val="5554483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5459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983.81999999999994</c:v>
                </c:pt>
                <c:pt idx="1">
                  <c:v>2395.5299999999997</c:v>
                </c:pt>
                <c:pt idx="2">
                  <c:v>3772.4299999999994</c:v>
                </c:pt>
                <c:pt idx="3">
                  <c:v>5282.8099999999995</c:v>
                </c:pt>
                <c:pt idx="4">
                  <c:v>5344.7099999999991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E9-4E27-926D-C15813418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288176"/>
        <c:axId val="626292440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2316.89</c:v>
                </c:pt>
                <c:pt idx="1">
                  <c:v>3380.95</c:v>
                </c:pt>
                <c:pt idx="2">
                  <c:v>4643.33</c:v>
                </c:pt>
                <c:pt idx="3">
                  <c:v>6117.1999999999989</c:v>
                </c:pt>
                <c:pt idx="4">
                  <c:v>6464.3499999999995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6E9-4E27-926D-C158134180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6288176"/>
        <c:axId val="626292440"/>
      </c:lineChart>
      <c:catAx>
        <c:axId val="6262881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92440"/>
        <c:crosses val="autoZero"/>
        <c:auto val="1"/>
        <c:lblAlgn val="ctr"/>
        <c:lblOffset val="100"/>
        <c:noMultiLvlLbl val="0"/>
      </c:catAx>
      <c:valAx>
        <c:axId val="6262924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881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1459.92</c:v>
                </c:pt>
                <c:pt idx="1">
                  <c:v>1482.25</c:v>
                </c:pt>
                <c:pt idx="2">
                  <c:v>1429.52</c:v>
                </c:pt>
                <c:pt idx="3">
                  <c:v>1530.1699999999998</c:v>
                </c:pt>
                <c:pt idx="4">
                  <c:v>105.60999999999967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68-4FD3-BC42-DE17AC12266E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1442.52</c:v>
                </c:pt>
                <c:pt idx="1">
                  <c:v>1465.04</c:v>
                </c:pt>
                <c:pt idx="2">
                  <c:v>1413.55</c:v>
                </c:pt>
                <c:pt idx="3">
                  <c:v>1515.32</c:v>
                </c:pt>
                <c:pt idx="4">
                  <c:v>91.559999999999675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68-4FD3-BC42-DE17AC1226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6292112"/>
        <c:axId val="626293096"/>
      </c:barChart>
      <c:catAx>
        <c:axId val="62629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93096"/>
        <c:crosses val="autoZero"/>
        <c:auto val="1"/>
        <c:lblAlgn val="ctr"/>
        <c:lblOffset val="100"/>
        <c:noMultiLvlLbl val="0"/>
      </c:catAx>
      <c:valAx>
        <c:axId val="6262930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2921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F44-4953-81FB-929D95931AE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F44-4953-81FB-929D95931AE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F44-4953-81FB-929D95931AE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48.15</c:v>
                </c:pt>
                <c:pt idx="1">
                  <c:v>121.97</c:v>
                </c:pt>
                <c:pt idx="2">
                  <c:v>109.4</c:v>
                </c:pt>
                <c:pt idx="3">
                  <c:v>139.68</c:v>
                </c:pt>
                <c:pt idx="4">
                  <c:v>5094.3100000000004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44-4953-81FB-929D95931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775160"/>
        <c:axId val="558771552"/>
      </c:lineChart>
      <c:catAx>
        <c:axId val="558775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771552"/>
        <c:crosses val="autoZero"/>
        <c:auto val="0"/>
        <c:lblAlgn val="ctr"/>
        <c:lblOffset val="100"/>
        <c:noMultiLvlLbl val="0"/>
      </c:catAx>
      <c:valAx>
        <c:axId val="558771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7751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1960.58</c:v>
                </c:pt>
                <c:pt idx="1">
                  <c:v>3047.5699999999997</c:v>
                </c:pt>
                <c:pt idx="2">
                  <c:v>4342.7199999999993</c:v>
                </c:pt>
                <c:pt idx="3">
                  <c:v>5827.4599999999991</c:v>
                </c:pt>
                <c:pt idx="4">
                  <c:v>6215.44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41-488F-B7D6-4B6BF0579BE9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441.51</c:v>
                </c:pt>
                <c:pt idx="1">
                  <c:v>246.41</c:v>
                </c:pt>
                <c:pt idx="2">
                  <c:v>158.06</c:v>
                </c:pt>
                <c:pt idx="3">
                  <c:v>252.16000000000003</c:v>
                </c:pt>
                <c:pt idx="4">
                  <c:v>396.96000000000004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41-488F-B7D6-4B6BF0579B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5455896"/>
        <c:axId val="555450320"/>
      </c:barChart>
      <c:catAx>
        <c:axId val="555455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50320"/>
        <c:crosses val="autoZero"/>
        <c:auto val="1"/>
        <c:lblAlgn val="ctr"/>
        <c:lblOffset val="100"/>
        <c:noMultiLvlLbl val="0"/>
      </c:catAx>
      <c:valAx>
        <c:axId val="555450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545589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8.3800000000000008</c:v>
                </c:pt>
                <c:pt idx="1">
                  <c:v>8.92</c:v>
                </c:pt>
                <c:pt idx="2">
                  <c:v>7.31</c:v>
                </c:pt>
                <c:pt idx="3">
                  <c:v>12.71</c:v>
                </c:pt>
                <c:pt idx="4">
                  <c:v>13.6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BB-44BF-BD7A-E49F58C6E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0813224"/>
        <c:axId val="560814208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BB-44BF-BD7A-E49F58C6E1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582824"/>
        <c:axId val="448582496"/>
      </c:lineChart>
      <c:catAx>
        <c:axId val="560813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0814208"/>
        <c:crosses val="autoZero"/>
        <c:auto val="1"/>
        <c:lblAlgn val="ctr"/>
        <c:lblOffset val="100"/>
        <c:noMultiLvlLbl val="0"/>
      </c:catAx>
      <c:valAx>
        <c:axId val="560814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0813224"/>
        <c:crosses val="autoZero"/>
        <c:crossBetween val="between"/>
      </c:valAx>
      <c:valAx>
        <c:axId val="44858249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8582824"/>
        <c:crosses val="max"/>
        <c:crossBetween val="between"/>
      </c:valAx>
      <c:catAx>
        <c:axId val="448582824"/>
        <c:scaling>
          <c:orientation val="minMax"/>
        </c:scaling>
        <c:delete val="1"/>
        <c:axPos val="b"/>
        <c:majorTickMark val="out"/>
        <c:minorTickMark val="none"/>
        <c:tickLblPos val="nextTo"/>
        <c:crossAx val="448582496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2073.46</c:v>
                </c:pt>
                <c:pt idx="1">
                  <c:v>1780.46</c:v>
                </c:pt>
                <c:pt idx="2">
                  <c:v>1207.0999999999999</c:v>
                </c:pt>
                <c:pt idx="3">
                  <c:v>741.5</c:v>
                </c:pt>
                <c:pt idx="4">
                  <c:v>3844.36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C94-4D8F-8FD1-913C2B2F7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618856"/>
        <c:axId val="446617544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243.01</c:v>
                </c:pt>
                <c:pt idx="1">
                  <c:v>260.26</c:v>
                </c:pt>
                <c:pt idx="2">
                  <c:v>292.81</c:v>
                </c:pt>
                <c:pt idx="3">
                  <c:v>198.24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C94-4D8F-8FD1-913C2B2F7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6621808"/>
        <c:axId val="446616888"/>
      </c:lineChart>
      <c:catAx>
        <c:axId val="446618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6617544"/>
        <c:crosses val="autoZero"/>
        <c:auto val="1"/>
        <c:lblAlgn val="ctr"/>
        <c:lblOffset val="100"/>
        <c:noMultiLvlLbl val="0"/>
      </c:catAx>
      <c:valAx>
        <c:axId val="446617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618856"/>
        <c:crosses val="autoZero"/>
        <c:crossBetween val="between"/>
      </c:valAx>
      <c:valAx>
        <c:axId val="44661688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6621808"/>
        <c:crosses val="max"/>
        <c:crossBetween val="between"/>
      </c:valAx>
      <c:catAx>
        <c:axId val="446621808"/>
        <c:scaling>
          <c:orientation val="minMax"/>
        </c:scaling>
        <c:delete val="1"/>
        <c:axPos val="b"/>
        <c:majorTickMark val="out"/>
        <c:minorTickMark val="none"/>
        <c:tickLblPos val="nextTo"/>
        <c:crossAx val="44661688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3905.03</c:v>
                </c:pt>
                <c:pt idx="1">
                  <c:v>3642.19</c:v>
                </c:pt>
                <c:pt idx="2">
                  <c:v>3052.94</c:v>
                </c:pt>
                <c:pt idx="3">
                  <c:v>2544.39</c:v>
                </c:pt>
                <c:pt idx="4">
                  <c:v>4422.6099999999997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F2-41B6-8799-A58D03EF4665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3913.26</c:v>
                </c:pt>
                <c:pt idx="1">
                  <c:v>3646.7400000000002</c:v>
                </c:pt>
                <c:pt idx="2">
                  <c:v>3049.04</c:v>
                </c:pt>
                <c:pt idx="3">
                  <c:v>2562.2399999999998</c:v>
                </c:pt>
                <c:pt idx="4">
                  <c:v>4430.3999999999996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F2-41B6-8799-A58D03EF46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0788464"/>
        <c:axId val="450789120"/>
      </c:barChart>
      <c:catAx>
        <c:axId val="45078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789120"/>
        <c:crosses val="autoZero"/>
        <c:auto val="1"/>
        <c:lblAlgn val="ctr"/>
        <c:lblOffset val="100"/>
        <c:noMultiLvlLbl val="0"/>
      </c:catAx>
      <c:valAx>
        <c:axId val="450789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78846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2316.89</c:v>
                </c:pt>
                <c:pt idx="1">
                  <c:v>3380.95</c:v>
                </c:pt>
                <c:pt idx="2">
                  <c:v>4643.33</c:v>
                </c:pt>
                <c:pt idx="3">
                  <c:v>6117.1999999999989</c:v>
                </c:pt>
                <c:pt idx="4">
                  <c:v>6464.3499999999995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71-4E6D-9E26-D3A47FEC1FAF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891.56</c:v>
                </c:pt>
                <c:pt idx="1">
                  <c:v>739.01</c:v>
                </c:pt>
                <c:pt idx="2">
                  <c:v>712.84</c:v>
                </c:pt>
                <c:pt idx="3">
                  <c:v>584.06999999999994</c:v>
                </c:pt>
                <c:pt idx="4">
                  <c:v>722.68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971-4E6D-9E26-D3A47FEC1F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2147296"/>
        <c:axId val="452148280"/>
      </c:barChart>
      <c:catAx>
        <c:axId val="452147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148280"/>
        <c:crosses val="autoZero"/>
        <c:auto val="1"/>
        <c:lblAlgn val="ctr"/>
        <c:lblOffset val="100"/>
        <c:noMultiLvlLbl val="0"/>
      </c:catAx>
      <c:valAx>
        <c:axId val="4521482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14729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2316.89</c:v>
                </c:pt>
                <c:pt idx="1">
                  <c:v>3380.95</c:v>
                </c:pt>
                <c:pt idx="2">
                  <c:v>4643.33</c:v>
                </c:pt>
                <c:pt idx="3">
                  <c:v>6117.1999999999989</c:v>
                </c:pt>
                <c:pt idx="4">
                  <c:v>6464.3499999999995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20-4C62-BF42-780AC4A3F113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441.51</c:v>
                </c:pt>
                <c:pt idx="1">
                  <c:v>246.41</c:v>
                </c:pt>
                <c:pt idx="2">
                  <c:v>158.06</c:v>
                </c:pt>
                <c:pt idx="3">
                  <c:v>252.16000000000003</c:v>
                </c:pt>
                <c:pt idx="4">
                  <c:v>396.96000000000004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20-4C62-BF42-780AC4A3F1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478096"/>
        <c:axId val="453471864"/>
      </c:barChart>
      <c:catAx>
        <c:axId val="45347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1864"/>
        <c:crosses val="autoZero"/>
        <c:auto val="1"/>
        <c:lblAlgn val="ctr"/>
        <c:lblOffset val="100"/>
        <c:noMultiLvlLbl val="0"/>
      </c:catAx>
      <c:valAx>
        <c:axId val="4534718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809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2316.89</c:v>
                </c:pt>
                <c:pt idx="1">
                  <c:v>3380.95</c:v>
                </c:pt>
                <c:pt idx="2">
                  <c:v>4643.329999999999</c:v>
                </c:pt>
                <c:pt idx="3">
                  <c:v>6117.1999999999989</c:v>
                </c:pt>
                <c:pt idx="4">
                  <c:v>6464.3499999999995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260-4211-8EB2-5B0B526B830C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356.31</c:v>
                </c:pt>
                <c:pt idx="1">
                  <c:v>333.38000000000005</c:v>
                </c:pt>
                <c:pt idx="2">
                  <c:v>300.61</c:v>
                </c:pt>
                <c:pt idx="3">
                  <c:v>289.74</c:v>
                </c:pt>
                <c:pt idx="4">
                  <c:v>248.91000000000003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260-4211-8EB2-5B0B526B8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49159888"/>
        <c:axId val="549156936"/>
      </c:barChart>
      <c:catAx>
        <c:axId val="549159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156936"/>
        <c:crosses val="autoZero"/>
        <c:auto val="1"/>
        <c:lblAlgn val="ctr"/>
        <c:lblOffset val="100"/>
        <c:noMultiLvlLbl val="0"/>
      </c:catAx>
      <c:valAx>
        <c:axId val="549156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915988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2316.89</c:v>
                </c:pt>
                <c:pt idx="1">
                  <c:v>3380.95</c:v>
                </c:pt>
                <c:pt idx="2">
                  <c:v>4643.329999999999</c:v>
                </c:pt>
                <c:pt idx="3">
                  <c:v>6117.1999999999989</c:v>
                </c:pt>
                <c:pt idx="4">
                  <c:v>6464.3499999999995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D7-492A-98D2-1C5E6C94C4A9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1960.58</c:v>
                </c:pt>
                <c:pt idx="1">
                  <c:v>3047.5699999999997</c:v>
                </c:pt>
                <c:pt idx="2">
                  <c:v>4342.7199999999993</c:v>
                </c:pt>
                <c:pt idx="3">
                  <c:v>5827.4599999999991</c:v>
                </c:pt>
                <c:pt idx="4">
                  <c:v>6215.44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D7-492A-98D2-1C5E6C94C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2344552"/>
        <c:axId val="442352752"/>
      </c:barChart>
      <c:catAx>
        <c:axId val="442344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352752"/>
        <c:crosses val="autoZero"/>
        <c:auto val="1"/>
        <c:lblAlgn val="ctr"/>
        <c:lblOffset val="100"/>
        <c:noMultiLvlLbl val="0"/>
      </c:catAx>
      <c:valAx>
        <c:axId val="442352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3445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2453.34</c:v>
                </c:pt>
                <c:pt idx="1">
                  <c:v>2164.4900000000002</c:v>
                </c:pt>
                <c:pt idx="2">
                  <c:v>1619.52</c:v>
                </c:pt>
                <c:pt idx="3">
                  <c:v>1032.07</c:v>
                </c:pt>
                <c:pt idx="4">
                  <c:v>4324.79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962-4F50-92E8-E36B8F9A5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2340944"/>
        <c:axId val="624907688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3913.26</c:v>
                </c:pt>
                <c:pt idx="1">
                  <c:v>3646.7400000000002</c:v>
                </c:pt>
                <c:pt idx="2">
                  <c:v>3049.04</c:v>
                </c:pt>
                <c:pt idx="3">
                  <c:v>2562.2399999999998</c:v>
                </c:pt>
                <c:pt idx="4">
                  <c:v>4430.3999999999996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62-4F50-92E8-E36B8F9A5D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905720"/>
        <c:axId val="624902440"/>
      </c:lineChart>
      <c:catAx>
        <c:axId val="442340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07688"/>
        <c:crosses val="autoZero"/>
        <c:auto val="1"/>
        <c:lblAlgn val="ctr"/>
        <c:lblOffset val="100"/>
        <c:noMultiLvlLbl val="0"/>
      </c:catAx>
      <c:valAx>
        <c:axId val="624907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340944"/>
        <c:crosses val="autoZero"/>
        <c:crossBetween val="between"/>
      </c:valAx>
      <c:valAx>
        <c:axId val="62490244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4905720"/>
        <c:crosses val="max"/>
        <c:crossBetween val="between"/>
      </c:valAx>
      <c:catAx>
        <c:axId val="624905720"/>
        <c:scaling>
          <c:orientation val="minMax"/>
        </c:scaling>
        <c:delete val="1"/>
        <c:axPos val="b"/>
        <c:majorTickMark val="out"/>
        <c:minorTickMark val="none"/>
        <c:tickLblPos val="nextTo"/>
        <c:crossAx val="62490244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1387.07</c:v>
                </c:pt>
                <c:pt idx="1">
                  <c:v>1411.7099999999998</c:v>
                </c:pt>
                <c:pt idx="2">
                  <c:v>1376.8999999999996</c:v>
                </c:pt>
                <c:pt idx="3">
                  <c:v>1510.3799999999999</c:v>
                </c:pt>
                <c:pt idx="4">
                  <c:v>61.899999999999679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7B-4974-93D7-3FEBE16FA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899488"/>
        <c:axId val="624902768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1389.47</c:v>
                </c:pt>
                <c:pt idx="1">
                  <c:v>1414.11</c:v>
                </c:pt>
                <c:pt idx="2">
                  <c:v>1379.2999999999997</c:v>
                </c:pt>
                <c:pt idx="3">
                  <c:v>1512.78</c:v>
                </c:pt>
                <c:pt idx="4">
                  <c:v>61.899999999999679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37B-4974-93D7-3FEBE16FA7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907360"/>
        <c:axId val="624906704"/>
      </c:lineChart>
      <c:catAx>
        <c:axId val="624899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02768"/>
        <c:crosses val="autoZero"/>
        <c:auto val="1"/>
        <c:lblAlgn val="ctr"/>
        <c:lblOffset val="100"/>
        <c:noMultiLvlLbl val="0"/>
      </c:catAx>
      <c:valAx>
        <c:axId val="6249027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899488"/>
        <c:crosses val="autoZero"/>
        <c:crossBetween val="between"/>
      </c:valAx>
      <c:valAx>
        <c:axId val="62490670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4907360"/>
        <c:crosses val="max"/>
        <c:crossBetween val="between"/>
      </c:valAx>
      <c:catAx>
        <c:axId val="624907360"/>
        <c:scaling>
          <c:orientation val="minMax"/>
        </c:scaling>
        <c:delete val="1"/>
        <c:axPos val="b"/>
        <c:majorTickMark val="out"/>
        <c:minorTickMark val="none"/>
        <c:tickLblPos val="nextTo"/>
        <c:crossAx val="62490670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B32-48FE-85A4-99891D330E4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B32-48FE-85A4-99891D330E40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B32-48FE-85A4-99891D330E4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B32-48FE-85A4-99891D330E4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B32-48FE-85A4-99891D330E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8208"/>
        <c:axId val="553649192"/>
      </c:lineChart>
      <c:catAx>
        <c:axId val="55364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9192"/>
        <c:crosses val="autoZero"/>
        <c:auto val="0"/>
        <c:lblAlgn val="ctr"/>
        <c:lblOffset val="100"/>
        <c:noMultiLvlLbl val="0"/>
      </c:catAx>
      <c:valAx>
        <c:axId val="553649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8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06D-4058-BA62-F6B4D2B7A67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06D-4058-BA62-F6B4D2B7A67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06D-4058-BA62-F6B4D2B7A67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06D-4058-BA62-F6B4D2B7A67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0.88</c:v>
                </c:pt>
                <c:pt idx="1">
                  <c:v>0.88</c:v>
                </c:pt>
                <c:pt idx="2">
                  <c:v>0.92999999999999994</c:v>
                </c:pt>
                <c:pt idx="3">
                  <c:v>0.94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06D-4058-BA62-F6B4D2B7A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568"/>
        <c:axId val="553814256"/>
      </c:lineChart>
      <c:catAx>
        <c:axId val="55381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4256"/>
        <c:crosses val="autoZero"/>
        <c:auto val="0"/>
        <c:lblAlgn val="ctr"/>
        <c:lblOffset val="100"/>
        <c:noMultiLvlLbl val="0"/>
      </c:catAx>
      <c:valAx>
        <c:axId val="553814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3815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B6B-4036-8A52-F3F40B0B27A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1831.57</c:v>
                </c:pt>
                <c:pt idx="1">
                  <c:v>1861.73</c:v>
                </c:pt>
                <c:pt idx="2">
                  <c:v>1845.84</c:v>
                </c:pt>
                <c:pt idx="3">
                  <c:v>1802.89</c:v>
                </c:pt>
                <c:pt idx="4">
                  <c:v>578.25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B6B-4036-8A52-F3F40B0B27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773848"/>
        <c:axId val="558773520"/>
      </c:lineChart>
      <c:catAx>
        <c:axId val="558773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773520"/>
        <c:crosses val="autoZero"/>
        <c:auto val="0"/>
        <c:lblAlgn val="ctr"/>
        <c:lblOffset val="100"/>
        <c:noMultiLvlLbl val="0"/>
      </c:catAx>
      <c:valAx>
        <c:axId val="558773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8773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4CB-4AE1-B8D7-236EAA82FB20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4CB-4AE1-B8D7-236EAA82FB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1451.69</c:v>
                </c:pt>
                <c:pt idx="1">
                  <c:v>1477.7</c:v>
                </c:pt>
                <c:pt idx="2">
                  <c:v>1433.42</c:v>
                </c:pt>
                <c:pt idx="3">
                  <c:v>1512.32</c:v>
                </c:pt>
                <c:pt idx="4">
                  <c:v>97.82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4CB-4AE1-B8D7-236EAA82F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1176512"/>
        <c:axId val="621172904"/>
      </c:lineChart>
      <c:catAx>
        <c:axId val="621176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1172904"/>
        <c:crosses val="autoZero"/>
        <c:auto val="0"/>
        <c:lblAlgn val="ctr"/>
        <c:lblOffset val="100"/>
        <c:noMultiLvlLbl val="0"/>
      </c:catAx>
      <c:valAx>
        <c:axId val="621172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211765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0.6</c:v>
                </c:pt>
                <c:pt idx="1">
                  <c:v>0.42</c:v>
                </c:pt>
                <c:pt idx="2">
                  <c:v>0.3</c:v>
                </c:pt>
                <c:pt idx="3">
                  <c:v>0.25</c:v>
                </c:pt>
                <c:pt idx="4">
                  <c:v>0.01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24-42E7-AA95-24EAF1D505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4200"/>
        <c:axId val="449430920"/>
      </c:lineChart>
      <c:catAx>
        <c:axId val="449434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920"/>
        <c:crosses val="autoZero"/>
        <c:auto val="0"/>
        <c:lblAlgn val="ctr"/>
        <c:lblOffset val="100"/>
        <c:noMultiLvlLbl val="0"/>
      </c:catAx>
      <c:valAx>
        <c:axId val="449430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342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E4F-4E9F-9870-3511867DB2E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E4F-4E9F-9870-3511867DB2E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E4F-4E9F-9870-3511867DB2E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0.81</c:v>
                </c:pt>
                <c:pt idx="1">
                  <c:v>0.99</c:v>
                </c:pt>
                <c:pt idx="2">
                  <c:v>0.99</c:v>
                </c:pt>
                <c:pt idx="3">
                  <c:v>1.3</c:v>
                </c:pt>
                <c:pt idx="4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E4F-4E9F-9870-3511867DB2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3744"/>
        <c:axId val="364044400"/>
      </c:lineChart>
      <c:catAx>
        <c:axId val="364043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4400"/>
        <c:crosses val="autoZero"/>
        <c:auto val="0"/>
        <c:lblAlgn val="ctr"/>
        <c:lblOffset val="100"/>
        <c:noMultiLvlLbl val="0"/>
      </c:catAx>
      <c:valAx>
        <c:axId val="364044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3640437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C7014E8-0D39-D85E-EAD8-646B2069B9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153463-347C-5BB5-9A9F-4815F6F591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D9F8C8-5B0D-9A1D-2EC6-0BB09310A8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F6C524-758F-77C9-3BF4-B6AA322ECD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D6C2FF-73EC-EBCE-C25C-BB95753E8B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D478C98-5A86-BC65-D19D-296DEBEDAA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0098A65-1482-C039-9155-C3175D24969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1E36C2-A44C-CCC5-0C88-FAB4D9477D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8B4719-4BC9-FC5C-D776-3DF763216F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3BDA87-4134-D10C-098F-1280E4CA93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409F9E1-559D-F4BE-FAFE-DE2290FF11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1F6736F-0219-4F96-3302-B1C8BFBD60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01AB73-D7C1-2F6E-8155-F004B9497A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7871F0-B66C-EFDB-D4C4-ECDF447A95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4A39CD-911A-418E-6B95-09A38D4373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BDAEE9-CA47-78BF-D90C-D02F632B9D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EDE8183-221E-B0F3-E204-A365122FF3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1393A5-2758-11D1-D1C3-DC07D9EE2D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FFB8605-CBE4-BACF-0647-BC401180A2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287B64E-5747-92B9-6171-0656422257E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01503E66-BF1C-6C38-0760-59110EAF34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276AD7D6-D898-3FE0-A960-22F3C55E5B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9EBA96-6E45-223A-B191-05CC16C1D2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0E7A8D29-1018-4E2C-AEC3-6284B2ED6F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AB43BA71-37CB-02D0-06A3-AA4A002752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A2A4ADEF-F84C-333D-FC51-8E1E9CCF82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15D34F6C-A19F-F15B-D778-3E86B43BF0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6EE5BB59-4B57-645F-2B66-31D21B1A63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190A10F3-D8F2-DBCE-31CD-772194895D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14F8F82F-C302-E6BE-8D4D-606C8FED16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9FD5FD9A-0CE1-F2FA-B4A9-4198CC4116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0B565001-EC14-8AF5-0816-71D766C4A8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24E880AD-2993-6050-BF10-3C2E15CF93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B1D0EB-7AFA-1939-840B-FF8ADB387A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DBBA84-A1D1-A6A3-A48A-54CE6A4BF4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33DDF2-8F9C-8424-B623-FA7CEE984B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A0EB780-B796-49AA-9ECD-16FA27C199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8FEA672-9BA6-8BBB-4ED7-ABE4CCEBE1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54855D-BC8C-1430-2394-3CDB046629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68046A-55AF-4FCA-A2C6-8C07B52C2EB3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>
        <v>16.010000000000002</v>
      </c>
      <c r="D6">
        <v>16.010000000000002</v>
      </c>
      <c r="E6">
        <v>16.010000000000002</v>
      </c>
      <c r="F6">
        <v>16.010000000000002</v>
      </c>
      <c r="G6">
        <v>16.010000000000002</v>
      </c>
      <c r="H6" t="s">
        <v>1</v>
      </c>
    </row>
    <row r="7" spans="1:8" x14ac:dyDescent="0.25">
      <c r="B7" t="s">
        <v>6</v>
      </c>
      <c r="C7">
        <v>16.010000000000002</v>
      </c>
      <c r="D7">
        <v>16.010000000000002</v>
      </c>
      <c r="E7">
        <v>16.010000000000002</v>
      </c>
      <c r="F7">
        <v>16.010000000000002</v>
      </c>
      <c r="G7">
        <v>16.010000000000002</v>
      </c>
      <c r="H7" t="s">
        <v>1</v>
      </c>
    </row>
    <row r="8" spans="1:8" x14ac:dyDescent="0.25">
      <c r="A8" t="s">
        <v>90</v>
      </c>
      <c r="B8" t="s">
        <v>7</v>
      </c>
      <c r="C8" s="2">
        <v>967.81</v>
      </c>
      <c r="D8" s="2">
        <v>1057.51</v>
      </c>
      <c r="E8" s="2">
        <v>1147.04</v>
      </c>
      <c r="F8" s="2">
        <v>1197.73</v>
      </c>
      <c r="G8">
        <v>1297.3900000000001</v>
      </c>
      <c r="H8" t="s">
        <v>1</v>
      </c>
    </row>
    <row r="9" spans="1:8" x14ac:dyDescent="0.25">
      <c r="B9" t="s">
        <v>8</v>
      </c>
      <c r="C9" s="2">
        <v>967.81</v>
      </c>
      <c r="D9" s="2">
        <v>1057.51</v>
      </c>
      <c r="E9" s="2">
        <v>1147.04</v>
      </c>
      <c r="F9" s="2">
        <v>1197.73</v>
      </c>
      <c r="G9">
        <v>1297.3900000000001</v>
      </c>
      <c r="H9" t="s">
        <v>1</v>
      </c>
    </row>
    <row r="10" spans="1:8" x14ac:dyDescent="0.25">
      <c r="B10" t="s">
        <v>9</v>
      </c>
      <c r="C10" s="2">
        <v>983.81</v>
      </c>
      <c r="D10" s="2">
        <v>1073.51</v>
      </c>
      <c r="E10" s="2">
        <v>1163.05</v>
      </c>
      <c r="F10" s="2">
        <v>1213.74</v>
      </c>
      <c r="G10">
        <v>1313.4</v>
      </c>
      <c r="H10" t="s">
        <v>1</v>
      </c>
    </row>
    <row r="11" spans="1:8" x14ac:dyDescent="0.25">
      <c r="A11" t="s">
        <v>10</v>
      </c>
      <c r="B11" t="s">
        <v>10</v>
      </c>
      <c r="C11">
        <v>0</v>
      </c>
      <c r="D11">
        <v>0</v>
      </c>
      <c r="E11">
        <v>0</v>
      </c>
      <c r="F11">
        <v>-1.84</v>
      </c>
      <c r="G11">
        <v>0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>
        <v>22.61</v>
      </c>
      <c r="D13">
        <v>51.65</v>
      </c>
      <c r="E13">
        <v>50.84</v>
      </c>
      <c r="F13">
        <v>51.24</v>
      </c>
      <c r="G13">
        <v>49.89</v>
      </c>
      <c r="H13" t="s">
        <v>1</v>
      </c>
    </row>
    <row r="14" spans="1:8" x14ac:dyDescent="0.25">
      <c r="A14" t="s">
        <v>91</v>
      </c>
      <c r="B14" t="s">
        <v>13</v>
      </c>
      <c r="C14">
        <v>47.19</v>
      </c>
      <c r="D14">
        <v>48.69</v>
      </c>
      <c r="E14">
        <v>49.5</v>
      </c>
      <c r="F14">
        <v>35.01</v>
      </c>
      <c r="G14">
        <v>31.49</v>
      </c>
      <c r="H14" t="s">
        <v>1</v>
      </c>
    </row>
    <row r="15" spans="1:8" x14ac:dyDescent="0.25">
      <c r="A15" t="s">
        <v>92</v>
      </c>
      <c r="B15" t="s">
        <v>14</v>
      </c>
      <c r="C15">
        <v>7.81</v>
      </c>
      <c r="D15">
        <v>5.61</v>
      </c>
      <c r="E15">
        <v>7.58</v>
      </c>
      <c r="F15">
        <v>5.09</v>
      </c>
      <c r="G15">
        <v>6.75</v>
      </c>
      <c r="H15" t="s">
        <v>1</v>
      </c>
    </row>
    <row r="16" spans="1:8" x14ac:dyDescent="0.25">
      <c r="A16" t="s">
        <v>93</v>
      </c>
      <c r="B16" t="s">
        <v>15</v>
      </c>
      <c r="C16">
        <v>8.3800000000000008</v>
      </c>
      <c r="D16">
        <v>8.92</v>
      </c>
      <c r="E16">
        <v>7.31</v>
      </c>
      <c r="F16">
        <v>12.71</v>
      </c>
      <c r="G16">
        <v>13.6</v>
      </c>
      <c r="H16" t="s">
        <v>1</v>
      </c>
    </row>
    <row r="17" spans="1:8" x14ac:dyDescent="0.25">
      <c r="B17" t="s">
        <v>16</v>
      </c>
      <c r="C17">
        <v>85.99</v>
      </c>
      <c r="D17">
        <v>114.86</v>
      </c>
      <c r="E17">
        <v>115.24</v>
      </c>
      <c r="F17">
        <v>104.04</v>
      </c>
      <c r="G17">
        <v>101.75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>
        <v>821.76</v>
      </c>
      <c r="D19">
        <v>638.66999999999996</v>
      </c>
      <c r="E19">
        <v>612.5</v>
      </c>
      <c r="F19">
        <v>497.82</v>
      </c>
      <c r="G19">
        <v>641.29999999999995</v>
      </c>
      <c r="H19" t="s">
        <v>1</v>
      </c>
    </row>
    <row r="20" spans="1:8" x14ac:dyDescent="0.25">
      <c r="A20" t="s">
        <v>92</v>
      </c>
      <c r="B20" t="s">
        <v>19</v>
      </c>
      <c r="C20">
        <v>229.01</v>
      </c>
      <c r="D20">
        <v>201.28</v>
      </c>
      <c r="E20">
        <v>130.22</v>
      </c>
      <c r="F20">
        <v>219.08</v>
      </c>
      <c r="G20">
        <v>353.61</v>
      </c>
      <c r="H20" t="s">
        <v>1</v>
      </c>
    </row>
    <row r="21" spans="1:8" x14ac:dyDescent="0.25">
      <c r="A21" t="s">
        <v>92</v>
      </c>
      <c r="B21" t="s">
        <v>20</v>
      </c>
      <c r="C21">
        <v>196.31</v>
      </c>
      <c r="D21">
        <v>30.6</v>
      </c>
      <c r="E21">
        <v>12.95</v>
      </c>
      <c r="F21">
        <v>15.28</v>
      </c>
      <c r="G21">
        <v>23</v>
      </c>
      <c r="H21" t="s">
        <v>1</v>
      </c>
    </row>
    <row r="22" spans="1:8" x14ac:dyDescent="0.25">
      <c r="A22" t="s">
        <v>93</v>
      </c>
      <c r="B22" t="s">
        <v>21</v>
      </c>
      <c r="C22">
        <v>0</v>
      </c>
      <c r="D22">
        <v>0</v>
      </c>
      <c r="E22">
        <v>0</v>
      </c>
      <c r="F22">
        <v>0</v>
      </c>
      <c r="G22">
        <v>0</v>
      </c>
      <c r="H22" t="s">
        <v>1</v>
      </c>
    </row>
    <row r="23" spans="1:8" x14ac:dyDescent="0.25">
      <c r="B23" t="s">
        <v>22</v>
      </c>
      <c r="C23" s="2">
        <v>1247.08</v>
      </c>
      <c r="D23">
        <v>870.55</v>
      </c>
      <c r="E23">
        <v>755.67</v>
      </c>
      <c r="F23">
        <v>732.17</v>
      </c>
      <c r="G23" s="2">
        <v>1017.9</v>
      </c>
      <c r="H23" t="s">
        <v>1</v>
      </c>
    </row>
    <row r="24" spans="1:8" x14ac:dyDescent="0.25">
      <c r="B24" t="s">
        <v>23</v>
      </c>
      <c r="C24" s="2">
        <v>2316.88</v>
      </c>
      <c r="D24" s="2">
        <v>2058.92</v>
      </c>
      <c r="E24" s="2">
        <v>2033.96</v>
      </c>
      <c r="F24" s="2">
        <v>2048.11</v>
      </c>
      <c r="G24" s="2">
        <v>2433.0500000000002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>
        <v>291.19</v>
      </c>
      <c r="D27">
        <v>278.81</v>
      </c>
      <c r="E27">
        <v>267.35000000000002</v>
      </c>
      <c r="F27">
        <v>253.03</v>
      </c>
      <c r="G27">
        <v>227.88</v>
      </c>
      <c r="H27" t="s">
        <v>1</v>
      </c>
    </row>
    <row r="28" spans="1:8" x14ac:dyDescent="0.25">
      <c r="A28" t="s">
        <v>29</v>
      </c>
      <c r="B28" t="s">
        <v>27</v>
      </c>
      <c r="C28">
        <v>0.22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0</v>
      </c>
      <c r="D29">
        <v>0</v>
      </c>
      <c r="E29">
        <v>0</v>
      </c>
      <c r="F29">
        <v>0</v>
      </c>
      <c r="G29">
        <v>0</v>
      </c>
      <c r="H29" t="s">
        <v>1</v>
      </c>
    </row>
    <row r="30" spans="1:8" x14ac:dyDescent="0.25">
      <c r="B30" t="s">
        <v>29</v>
      </c>
      <c r="C30">
        <v>291.41000000000003</v>
      </c>
      <c r="D30">
        <v>278.81</v>
      </c>
      <c r="E30">
        <v>267.35000000000002</v>
      </c>
      <c r="F30">
        <v>253.03</v>
      </c>
      <c r="G30">
        <v>227.88</v>
      </c>
      <c r="H30" t="s">
        <v>1</v>
      </c>
    </row>
    <row r="31" spans="1:8" x14ac:dyDescent="0.25">
      <c r="A31" t="s">
        <v>94</v>
      </c>
      <c r="B31" t="s">
        <v>30</v>
      </c>
      <c r="C31">
        <v>40.159999999999997</v>
      </c>
      <c r="D31">
        <v>45.74</v>
      </c>
      <c r="E31">
        <v>48.54</v>
      </c>
      <c r="F31">
        <v>50.74</v>
      </c>
      <c r="G31">
        <v>42.9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>
        <v>0</v>
      </c>
      <c r="E32">
        <v>0</v>
      </c>
      <c r="F32">
        <v>0</v>
      </c>
      <c r="G32">
        <v>2.91</v>
      </c>
      <c r="H32" t="s">
        <v>1</v>
      </c>
    </row>
    <row r="33" spans="1:8" x14ac:dyDescent="0.25">
      <c r="A33" t="s">
        <v>95</v>
      </c>
      <c r="B33" t="s">
        <v>32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A34" t="s">
        <v>95</v>
      </c>
      <c r="B34" t="s">
        <v>33</v>
      </c>
      <c r="C34">
        <v>7.91</v>
      </c>
      <c r="D34">
        <v>9.99</v>
      </c>
      <c r="E34">
        <v>13.25</v>
      </c>
      <c r="F34">
        <v>3.05</v>
      </c>
      <c r="G34">
        <v>3.22</v>
      </c>
      <c r="H34" t="s">
        <v>1</v>
      </c>
    </row>
    <row r="35" spans="1:8" x14ac:dyDescent="0.25">
      <c r="B35" t="s">
        <v>34</v>
      </c>
      <c r="C35">
        <v>339.48</v>
      </c>
      <c r="D35">
        <v>334.55</v>
      </c>
      <c r="E35">
        <v>329.13</v>
      </c>
      <c r="F35">
        <v>306.81</v>
      </c>
      <c r="G35">
        <v>276.91000000000003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24.71</v>
      </c>
      <c r="D37">
        <v>26.04</v>
      </c>
      <c r="E37">
        <v>17.899999999999999</v>
      </c>
      <c r="F37">
        <v>34</v>
      </c>
      <c r="G37">
        <v>40.21</v>
      </c>
      <c r="H37" t="s">
        <v>1</v>
      </c>
    </row>
    <row r="38" spans="1:8" x14ac:dyDescent="0.25">
      <c r="A38" t="s">
        <v>96</v>
      </c>
      <c r="B38" t="s">
        <v>37</v>
      </c>
      <c r="C38">
        <v>559.4</v>
      </c>
      <c r="D38">
        <v>566.15</v>
      </c>
      <c r="E38">
        <v>553.86</v>
      </c>
      <c r="F38">
        <v>485.27</v>
      </c>
      <c r="G38">
        <v>564.65</v>
      </c>
      <c r="H38" t="s">
        <v>1</v>
      </c>
    </row>
    <row r="39" spans="1:8" x14ac:dyDescent="0.25">
      <c r="A39" t="s">
        <v>96</v>
      </c>
      <c r="B39" t="s">
        <v>38</v>
      </c>
      <c r="C39" s="2">
        <v>924.85</v>
      </c>
      <c r="D39">
        <v>765.39</v>
      </c>
      <c r="E39">
        <v>667.11</v>
      </c>
      <c r="F39">
        <v>806.45</v>
      </c>
      <c r="G39">
        <v>1048.01</v>
      </c>
      <c r="H39" t="s">
        <v>1</v>
      </c>
    </row>
    <row r="40" spans="1:8" x14ac:dyDescent="0.25">
      <c r="A40" t="s">
        <v>96</v>
      </c>
      <c r="B40" t="s">
        <v>39</v>
      </c>
      <c r="C40">
        <v>404.85</v>
      </c>
      <c r="D40">
        <v>312.24</v>
      </c>
      <c r="E40">
        <v>341.1</v>
      </c>
      <c r="F40">
        <v>333.88</v>
      </c>
      <c r="G40">
        <v>305.39999999999998</v>
      </c>
      <c r="H40" t="s">
        <v>1</v>
      </c>
    </row>
    <row r="41" spans="1:8" x14ac:dyDescent="0.25">
      <c r="A41" t="s">
        <v>95</v>
      </c>
      <c r="B41" t="s">
        <v>40</v>
      </c>
      <c r="C41">
        <v>61.06</v>
      </c>
      <c r="D41">
        <v>54.47</v>
      </c>
      <c r="E41">
        <v>122.19</v>
      </c>
      <c r="F41">
        <v>81.709999999999994</v>
      </c>
      <c r="G41">
        <v>196.74</v>
      </c>
      <c r="H41" t="s">
        <v>1</v>
      </c>
    </row>
    <row r="42" spans="1:8" x14ac:dyDescent="0.25">
      <c r="A42" t="s">
        <v>95</v>
      </c>
      <c r="B42" t="s">
        <v>41</v>
      </c>
      <c r="C42">
        <v>2.5099999999999998</v>
      </c>
      <c r="D42">
        <v>0.09</v>
      </c>
      <c r="E42">
        <v>2.65</v>
      </c>
      <c r="F42">
        <v>0</v>
      </c>
      <c r="G42">
        <v>1.1299999999999999</v>
      </c>
      <c r="H42" t="s">
        <v>1</v>
      </c>
    </row>
    <row r="43" spans="1:8" x14ac:dyDescent="0.25">
      <c r="B43" t="s">
        <v>42</v>
      </c>
      <c r="C43" s="2">
        <v>1977.4</v>
      </c>
      <c r="D43" s="2">
        <v>1724.37</v>
      </c>
      <c r="E43" s="2">
        <v>1704.83</v>
      </c>
      <c r="F43" s="2">
        <v>1741.3</v>
      </c>
      <c r="G43" s="2">
        <v>2156.14</v>
      </c>
      <c r="H43" t="s">
        <v>1</v>
      </c>
    </row>
    <row r="44" spans="1:8" x14ac:dyDescent="0.25">
      <c r="B44" t="s">
        <v>43</v>
      </c>
      <c r="C44" s="2">
        <v>2316.88</v>
      </c>
      <c r="D44" s="2">
        <v>2058.92</v>
      </c>
      <c r="E44" s="2">
        <v>2033.96</v>
      </c>
      <c r="F44" s="2">
        <v>2048.11</v>
      </c>
      <c r="G44" s="2">
        <v>2433.0500000000002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0</v>
      </c>
      <c r="D47">
        <v>0</v>
      </c>
      <c r="E47">
        <v>0</v>
      </c>
      <c r="F47">
        <v>0</v>
      </c>
      <c r="G47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5.34</v>
      </c>
      <c r="D49">
        <v>5.34</v>
      </c>
      <c r="E49">
        <v>5.34</v>
      </c>
      <c r="F49">
        <v>5.34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0</v>
      </c>
      <c r="D51">
        <v>0</v>
      </c>
      <c r="E51">
        <v>0</v>
      </c>
      <c r="F51">
        <v>0</v>
      </c>
      <c r="G51">
        <v>0</v>
      </c>
      <c r="H51" t="s">
        <v>1</v>
      </c>
    </row>
    <row r="52" spans="2:8" x14ac:dyDescent="0.25">
      <c r="B52" t="s">
        <v>51</v>
      </c>
      <c r="C52">
        <v>40.159999999999997</v>
      </c>
      <c r="D52">
        <v>45.74</v>
      </c>
      <c r="E52">
        <v>48.54</v>
      </c>
      <c r="F52">
        <v>50.74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24.71</v>
      </c>
      <c r="D55">
        <v>26.04</v>
      </c>
      <c r="E55">
        <v>17.899999999999999</v>
      </c>
      <c r="F55">
        <v>34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45F2CF-1EF3-48D6-8C39-DD381CF1CC33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8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2.4</v>
      </c>
      <c r="D6" s="16">
        <f>'Income Statement'!D28</f>
        <v>2.4</v>
      </c>
      <c r="E6" s="16">
        <f>'Income Statement'!E28</f>
        <v>2.4</v>
      </c>
      <c r="F6" s="16">
        <f>'Income Statement'!F28</f>
        <v>2.4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20.433382352941177</v>
      </c>
      <c r="D7" s="16">
        <f>'Income Statement'!D35</f>
        <v>19.640416666666667</v>
      </c>
      <c r="E7" s="16">
        <f>'Income Statement'!E35</f>
        <v>34.482499999999995</v>
      </c>
      <c r="F7" s="16">
        <f>'Income Statement'!F35</f>
        <v>37.819499999999998</v>
      </c>
      <c r="G7" s="16">
        <f>'Income Statement'!G35</f>
        <v>1.0491525423728758</v>
      </c>
    </row>
    <row r="8" spans="2:7" ht="18.75" x14ac:dyDescent="0.25">
      <c r="B8" s="15" t="s">
        <v>148</v>
      </c>
      <c r="C8" s="16">
        <f>ROUND(C6/C7, 2)</f>
        <v>0.12</v>
      </c>
      <c r="D8" s="16">
        <f t="shared" ref="D8:G8" si="0">ROUND(D6/D7, 2)</f>
        <v>0.12</v>
      </c>
      <c r="E8" s="16">
        <f t="shared" si="0"/>
        <v>7.0000000000000007E-2</v>
      </c>
      <c r="F8" s="16">
        <f t="shared" si="0"/>
        <v>0.06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1389.47</v>
      </c>
      <c r="D9" s="16">
        <f>'Income Statement'!D27</f>
        <v>1414.11</v>
      </c>
      <c r="E9" s="16">
        <f>'Income Statement'!E27</f>
        <v>1379.2999999999997</v>
      </c>
      <c r="F9" s="16">
        <f>'Income Statement'!F27</f>
        <v>1512.78</v>
      </c>
      <c r="G9" s="16">
        <f>'Income Statement'!G27</f>
        <v>61.899999999999679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20.433382352941177</v>
      </c>
      <c r="D10" s="16">
        <f>'Income Statement'!D35</f>
        <v>19.640416666666667</v>
      </c>
      <c r="E10" s="16">
        <f>'Income Statement'!E35</f>
        <v>34.482499999999995</v>
      </c>
      <c r="F10" s="16">
        <f>'Income Statement'!F35</f>
        <v>37.819499999999998</v>
      </c>
      <c r="G10" s="16">
        <f>'Income Statement'!G35</f>
        <v>1.0491525423728758</v>
      </c>
    </row>
    <row r="11" spans="2:7" ht="18.75" x14ac:dyDescent="0.25">
      <c r="B11" s="15" t="s">
        <v>146</v>
      </c>
      <c r="C11" s="16">
        <f>C9/C10</f>
        <v>68</v>
      </c>
      <c r="D11" s="16">
        <f t="shared" ref="D11:G11" si="1">D9/D10</f>
        <v>72</v>
      </c>
      <c r="E11" s="16">
        <f t="shared" si="1"/>
        <v>40</v>
      </c>
      <c r="F11" s="16">
        <f t="shared" si="1"/>
        <v>40</v>
      </c>
      <c r="G11" s="16">
        <f t="shared" si="1"/>
        <v>59.000000000000007</v>
      </c>
    </row>
    <row r="12" spans="2:7" ht="18.75" x14ac:dyDescent="0.25">
      <c r="B12" s="17" t="s">
        <v>152</v>
      </c>
      <c r="C12" s="17">
        <f>ROUND(C8/C11, 2)</f>
        <v>0</v>
      </c>
      <c r="D12" s="17">
        <f t="shared" ref="D12:G12" si="2">ROUND(D8/D11, 2)</f>
        <v>0</v>
      </c>
      <c r="E12" s="17">
        <f t="shared" si="2"/>
        <v>0</v>
      </c>
      <c r="F12" s="17">
        <f t="shared" si="2"/>
        <v>0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6A8996-B5CC-4FA5-A1C0-3E48BAD1AD1A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6" width="10.8554687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2.4</v>
      </c>
      <c r="D6" s="16">
        <f>'Income Statement'!D28</f>
        <v>2.4</v>
      </c>
      <c r="E6" s="16">
        <f>'Income Statement'!E28</f>
        <v>2.4</v>
      </c>
      <c r="F6" s="16">
        <f>'Income Statement'!F28</f>
        <v>2.4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20.433382352941177</v>
      </c>
      <c r="D7" s="16">
        <f>'Income Statement'!D35</f>
        <v>19.640416666666667</v>
      </c>
      <c r="E7" s="16">
        <f>'Income Statement'!E35</f>
        <v>34.482499999999995</v>
      </c>
      <c r="F7" s="16">
        <f>'Income Statement'!F35</f>
        <v>37.819499999999998</v>
      </c>
      <c r="G7" s="16">
        <f>'Income Statement'!G35</f>
        <v>1.0491525423728758</v>
      </c>
    </row>
    <row r="8" spans="2:7" ht="18.75" x14ac:dyDescent="0.25">
      <c r="B8" s="15" t="s">
        <v>154</v>
      </c>
      <c r="C8" s="16">
        <f>ROUND(C6/C7, 2)</f>
        <v>0.12</v>
      </c>
      <c r="D8" s="16">
        <f t="shared" ref="D8:G8" si="0">ROUND(D6/D7, 2)</f>
        <v>0.12</v>
      </c>
      <c r="E8" s="16">
        <f t="shared" si="0"/>
        <v>7.0000000000000007E-2</v>
      </c>
      <c r="F8" s="16">
        <f t="shared" si="0"/>
        <v>0.06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0.88</v>
      </c>
      <c r="D9" s="27">
        <f t="shared" ref="D9:G9" si="1">1-D8</f>
        <v>0.88</v>
      </c>
      <c r="E9" s="27">
        <f t="shared" si="1"/>
        <v>0.92999999999999994</v>
      </c>
      <c r="F9" s="27">
        <f t="shared" si="1"/>
        <v>0.94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72D602-02F3-4BC4-91F7-8BC34214166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3905.03</v>
      </c>
      <c r="D6" s="16">
        <f>'Income Statement'!D5</f>
        <v>3642.19</v>
      </c>
      <c r="E6" s="16">
        <f>'Income Statement'!E5</f>
        <v>3052.94</v>
      </c>
      <c r="F6" s="16">
        <f>'Income Statement'!F5</f>
        <v>2544.39</v>
      </c>
      <c r="G6" s="16">
        <f>'Income Statement'!G5</f>
        <v>4422.6099999999997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2073.46</v>
      </c>
      <c r="D7" s="16">
        <f>'Income Statement'!D11</f>
        <v>1780.46</v>
      </c>
      <c r="E7" s="16">
        <f>'Income Statement'!E11</f>
        <v>1207.0999999999999</v>
      </c>
      <c r="F7" s="16">
        <f>'Income Statement'!F11</f>
        <v>741.5</v>
      </c>
      <c r="G7" s="16">
        <f>'Income Statement'!G11</f>
        <v>3844.36</v>
      </c>
    </row>
    <row r="8" spans="2:7" ht="18.75" x14ac:dyDescent="0.25">
      <c r="B8" s="17" t="s">
        <v>157</v>
      </c>
      <c r="C8" s="28">
        <f>ROUND(C6- C7, 2)</f>
        <v>1831.57</v>
      </c>
      <c r="D8" s="28">
        <f t="shared" ref="D8:G8" si="0">ROUND(D6- D7, 2)</f>
        <v>1861.73</v>
      </c>
      <c r="E8" s="28">
        <f t="shared" si="0"/>
        <v>1845.84</v>
      </c>
      <c r="F8" s="28">
        <f t="shared" si="0"/>
        <v>1802.89</v>
      </c>
      <c r="G8" s="28">
        <f t="shared" si="0"/>
        <v>578.25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EBCD7-5885-4830-8264-ADD5FE80095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3905.03</v>
      </c>
      <c r="D6" s="16">
        <f>'Income Statement'!D5</f>
        <v>3642.19</v>
      </c>
      <c r="E6" s="16">
        <f>'Income Statement'!E5</f>
        <v>3052.94</v>
      </c>
      <c r="F6" s="16">
        <f>'Income Statement'!F5</f>
        <v>2544.39</v>
      </c>
      <c r="G6" s="16">
        <f>'Income Statement'!G5</f>
        <v>4422.6099999999997</v>
      </c>
    </row>
    <row r="7" spans="2:7" ht="18.75" x14ac:dyDescent="0.25">
      <c r="B7" s="15" t="str">
        <f>'Income Statement'!B15</f>
        <v>Total Expenditure</v>
      </c>
      <c r="C7" s="16">
        <f>'Income Statement'!C15</f>
        <v>2453.34</v>
      </c>
      <c r="D7" s="16">
        <f>'Income Statement'!D15</f>
        <v>2164.4900000000002</v>
      </c>
      <c r="E7" s="16">
        <f>'Income Statement'!E15</f>
        <v>1619.52</v>
      </c>
      <c r="F7" s="16">
        <f>'Income Statement'!F15</f>
        <v>1032.07</v>
      </c>
      <c r="G7" s="16">
        <f>'Income Statement'!G15</f>
        <v>4324.79</v>
      </c>
    </row>
    <row r="8" spans="2:7" ht="18.75" x14ac:dyDescent="0.25">
      <c r="B8" s="17" t="s">
        <v>159</v>
      </c>
      <c r="C8" s="28">
        <f>ROUND(C6- C7, 2)</f>
        <v>1451.69</v>
      </c>
      <c r="D8" s="28">
        <f t="shared" ref="D8:G8" si="0">ROUND(D6- D7, 2)</f>
        <v>1477.7</v>
      </c>
      <c r="E8" s="28">
        <f t="shared" si="0"/>
        <v>1433.42</v>
      </c>
      <c r="F8" s="28">
        <f t="shared" si="0"/>
        <v>1512.32</v>
      </c>
      <c r="G8" s="28">
        <f t="shared" si="0"/>
        <v>97.82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6F476-8483-4163-BE12-1B8579FA305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1389.47</v>
      </c>
      <c r="D6" s="16">
        <f>'Income Statement'!D27</f>
        <v>1414.11</v>
      </c>
      <c r="E6" s="16">
        <f>'Income Statement'!E27</f>
        <v>1379.2999999999997</v>
      </c>
      <c r="F6" s="16">
        <f>'Income Statement'!F27</f>
        <v>1512.78</v>
      </c>
      <c r="G6" s="16">
        <f>'Income Statement'!G27</f>
        <v>61.899999999999679</v>
      </c>
    </row>
    <row r="7" spans="2:7" ht="18.75" x14ac:dyDescent="0.25">
      <c r="B7" s="15" t="str">
        <f>'Balance Sheet'!B40</f>
        <v>Total Assets</v>
      </c>
      <c r="C7" s="16">
        <f>'Balance Sheet'!C40</f>
        <v>2316.89</v>
      </c>
      <c r="D7" s="16">
        <f>'Balance Sheet'!D40</f>
        <v>3380.95</v>
      </c>
      <c r="E7" s="16">
        <f>'Balance Sheet'!E40</f>
        <v>4643.329999999999</v>
      </c>
      <c r="F7" s="16">
        <f>'Balance Sheet'!F40</f>
        <v>6117.1999999999989</v>
      </c>
      <c r="G7" s="16">
        <f>'Balance Sheet'!G40</f>
        <v>6464.3499999999995</v>
      </c>
    </row>
    <row r="8" spans="2:7" ht="18.75" x14ac:dyDescent="0.25">
      <c r="B8" s="17" t="s">
        <v>161</v>
      </c>
      <c r="C8" s="27">
        <f>ROUND(C6/ C7, 2)</f>
        <v>0.6</v>
      </c>
      <c r="D8" s="27">
        <f t="shared" ref="D8:G8" si="0">ROUND(D6/ D7, 2)</f>
        <v>0.42</v>
      </c>
      <c r="E8" s="27">
        <f t="shared" si="0"/>
        <v>0.3</v>
      </c>
      <c r="F8" s="27">
        <f t="shared" si="0"/>
        <v>0.25</v>
      </c>
      <c r="G8" s="27">
        <f t="shared" si="0"/>
        <v>0.01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1A021-FBFF-4830-9D3E-12068B0E98A0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5" width="11.5703125" bestFit="1" customWidth="1"/>
    <col min="6" max="6" width="12.42578125" bestFit="1" customWidth="1"/>
    <col min="7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1442.52</v>
      </c>
      <c r="D6" s="16">
        <f>'Income Statement'!D19</f>
        <v>1465.04</v>
      </c>
      <c r="E6" s="16">
        <f>'Income Statement'!E19</f>
        <v>1413.55</v>
      </c>
      <c r="F6" s="16">
        <f>'Income Statement'!F19</f>
        <v>1515.32</v>
      </c>
      <c r="G6" s="16">
        <f>'Income Statement'!G19</f>
        <v>91.559999999999675</v>
      </c>
    </row>
    <row r="7" spans="2:7" ht="18.75" x14ac:dyDescent="0.25">
      <c r="B7" s="15" t="str">
        <f>'Balance Sheet'!B13</f>
        <v>Total Debt</v>
      </c>
      <c r="C7" s="16">
        <f>'Balance Sheet'!C13</f>
        <v>891.56</v>
      </c>
      <c r="D7" s="16">
        <f>'Balance Sheet'!D13</f>
        <v>739.01</v>
      </c>
      <c r="E7" s="16">
        <f>'Balance Sheet'!E13</f>
        <v>712.84</v>
      </c>
      <c r="F7" s="16">
        <f>'Balance Sheet'!F13</f>
        <v>584.06999999999994</v>
      </c>
      <c r="G7" s="16">
        <f>'Balance Sheet'!G13</f>
        <v>722.68</v>
      </c>
    </row>
    <row r="8" spans="2:7" ht="18.75" x14ac:dyDescent="0.25">
      <c r="B8" s="15" t="str">
        <f>'Balance Sheet'!B9</f>
        <v>Net Worth</v>
      </c>
      <c r="C8" s="16">
        <f>'Balance Sheet'!C9</f>
        <v>983.81999999999994</v>
      </c>
      <c r="D8" s="16">
        <f>'Balance Sheet'!D9</f>
        <v>2395.5299999999997</v>
      </c>
      <c r="E8" s="16">
        <f>'Balance Sheet'!E9</f>
        <v>3772.4299999999994</v>
      </c>
      <c r="F8" s="16">
        <f>'Balance Sheet'!F9</f>
        <v>5282.8099999999995</v>
      </c>
      <c r="G8" s="16">
        <f>'Balance Sheet'!G9</f>
        <v>5344.7099999999991</v>
      </c>
    </row>
    <row r="9" spans="2:7" ht="18.75" x14ac:dyDescent="0.25">
      <c r="B9" s="17" t="s">
        <v>163</v>
      </c>
      <c r="C9" s="27">
        <f>ROUND(C6/ (C7+ C7), 2)</f>
        <v>0.81</v>
      </c>
      <c r="D9" s="27">
        <f t="shared" ref="D9:G9" si="0">ROUND(D6/ (D7+ D7), 2)</f>
        <v>0.99</v>
      </c>
      <c r="E9" s="27">
        <f t="shared" si="0"/>
        <v>0.99</v>
      </c>
      <c r="F9" s="27">
        <f t="shared" si="0"/>
        <v>1.3</v>
      </c>
      <c r="G9" s="27">
        <f t="shared" si="0"/>
        <v>0.06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42639-D062-4DDC-8BEE-950A7AF98E4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1389.47</v>
      </c>
      <c r="D6" s="16">
        <f>'Income Statement'!D27</f>
        <v>1414.11</v>
      </c>
      <c r="E6" s="16">
        <f>'Income Statement'!E27</f>
        <v>1379.2999999999997</v>
      </c>
      <c r="F6" s="16">
        <f>'Income Statement'!F27</f>
        <v>1512.78</v>
      </c>
      <c r="G6" s="16">
        <f>'Income Statement'!G27</f>
        <v>61.899999999999679</v>
      </c>
    </row>
    <row r="7" spans="2:7" ht="18.75" x14ac:dyDescent="0.25">
      <c r="B7" s="15" t="str">
        <f>'Balance Sheet'!B9</f>
        <v>Net Worth</v>
      </c>
      <c r="C7" s="16">
        <f>'Balance Sheet'!C9</f>
        <v>983.81999999999994</v>
      </c>
      <c r="D7" s="16">
        <f>'Balance Sheet'!D9</f>
        <v>2395.5299999999997</v>
      </c>
      <c r="E7" s="16">
        <f>'Balance Sheet'!E9</f>
        <v>3772.4299999999994</v>
      </c>
      <c r="F7" s="16">
        <f>'Balance Sheet'!F9</f>
        <v>5282.8099999999995</v>
      </c>
      <c r="G7" s="16">
        <f>'Balance Sheet'!G9</f>
        <v>5344.7099999999991</v>
      </c>
    </row>
    <row r="8" spans="2:7" ht="18.75" x14ac:dyDescent="0.25">
      <c r="B8" s="17" t="s">
        <v>165</v>
      </c>
      <c r="C8" s="27">
        <f>ROUND(C6/ (C7+ C7), 2)</f>
        <v>0.71</v>
      </c>
      <c r="D8" s="27">
        <f t="shared" ref="D8:G8" si="0">ROUND(D6/ (D7+ D7), 2)</f>
        <v>0.3</v>
      </c>
      <c r="E8" s="27">
        <f t="shared" si="0"/>
        <v>0.18</v>
      </c>
      <c r="F8" s="27">
        <f t="shared" si="0"/>
        <v>0.14000000000000001</v>
      </c>
      <c r="G8" s="27">
        <f t="shared" si="0"/>
        <v>0.01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3D852-C5AB-4286-85AB-813CD694B55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3" width="10" bestFit="1" customWidth="1"/>
    <col min="4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891.56</v>
      </c>
      <c r="D6" s="16">
        <f>'Balance Sheet'!D13</f>
        <v>739.01</v>
      </c>
      <c r="E6" s="16">
        <f>'Balance Sheet'!E13</f>
        <v>712.84</v>
      </c>
      <c r="F6" s="16">
        <f>'Balance Sheet'!F13</f>
        <v>584.06999999999994</v>
      </c>
      <c r="G6" s="16">
        <f>'Balance Sheet'!G13</f>
        <v>722.68</v>
      </c>
    </row>
    <row r="7" spans="2:7" ht="18.75" x14ac:dyDescent="0.25">
      <c r="B7" s="15" t="str">
        <f>'Balance Sheet'!B9</f>
        <v>Net Worth</v>
      </c>
      <c r="C7" s="16">
        <f>'Balance Sheet'!C9</f>
        <v>983.81999999999994</v>
      </c>
      <c r="D7" s="16">
        <f>'Balance Sheet'!D9</f>
        <v>2395.5299999999997</v>
      </c>
      <c r="E7" s="16">
        <f>'Balance Sheet'!E9</f>
        <v>3772.4299999999994</v>
      </c>
      <c r="F7" s="16">
        <f>'Balance Sheet'!F9</f>
        <v>5282.8099999999995</v>
      </c>
      <c r="G7" s="16">
        <f>'Balance Sheet'!G9</f>
        <v>5344.7099999999991</v>
      </c>
    </row>
    <row r="8" spans="2:7" ht="18.75" x14ac:dyDescent="0.25">
      <c r="B8" s="17" t="s">
        <v>167</v>
      </c>
      <c r="C8" s="17">
        <f>ROUND(C6/ C7, 2)</f>
        <v>0.91</v>
      </c>
      <c r="D8" s="17">
        <f t="shared" ref="D8:G8" si="0">ROUND(D6/ D7, 2)</f>
        <v>0.31</v>
      </c>
      <c r="E8" s="17">
        <f t="shared" si="0"/>
        <v>0.19</v>
      </c>
      <c r="F8" s="17">
        <f t="shared" si="0"/>
        <v>0.11</v>
      </c>
      <c r="G8" s="17">
        <f t="shared" si="0"/>
        <v>0.14000000000000001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F1A362-8562-455E-B565-44B931A1C9C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1960.58</v>
      </c>
      <c r="D6" s="16">
        <f>'Balance Sheet'!D39</f>
        <v>3047.5699999999997</v>
      </c>
      <c r="E6" s="16">
        <f>'Balance Sheet'!E39</f>
        <v>4342.7199999999993</v>
      </c>
      <c r="F6" s="16">
        <f>'Balance Sheet'!F39</f>
        <v>5827.4599999999991</v>
      </c>
      <c r="G6" s="16">
        <f>'Balance Sheet'!G39</f>
        <v>6215.44</v>
      </c>
    </row>
    <row r="7" spans="2:7" ht="18.75" x14ac:dyDescent="0.25">
      <c r="B7" s="15" t="str">
        <f>'Balance Sheet'!B19</f>
        <v>Total Current Liabilities</v>
      </c>
      <c r="C7" s="16">
        <f>'Balance Sheet'!C19</f>
        <v>441.51</v>
      </c>
      <c r="D7" s="16">
        <f>'Balance Sheet'!D19</f>
        <v>246.41</v>
      </c>
      <c r="E7" s="16">
        <f>'Balance Sheet'!E19</f>
        <v>158.06</v>
      </c>
      <c r="F7" s="16">
        <f>'Balance Sheet'!F19</f>
        <v>252.16000000000003</v>
      </c>
      <c r="G7" s="16">
        <f>'Balance Sheet'!G19</f>
        <v>396.96000000000004</v>
      </c>
    </row>
    <row r="8" spans="2:7" ht="18.75" x14ac:dyDescent="0.25">
      <c r="B8" s="17" t="s">
        <v>169</v>
      </c>
      <c r="C8" s="17">
        <f>ROUND(C6/ C7, 2)</f>
        <v>4.4400000000000004</v>
      </c>
      <c r="D8" s="17">
        <f t="shared" ref="D8:G8" si="0">ROUND(D6/ D7, 2)</f>
        <v>12.37</v>
      </c>
      <c r="E8" s="17">
        <f t="shared" si="0"/>
        <v>27.48</v>
      </c>
      <c r="F8" s="17">
        <f t="shared" si="0"/>
        <v>23.11</v>
      </c>
      <c r="G8" s="17">
        <f t="shared" si="0"/>
        <v>15.66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3E3512-85B5-4F82-A372-9F511FB35B76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1960.58</v>
      </c>
      <c r="D6" s="16">
        <f>'Balance Sheet'!D39</f>
        <v>3047.5699999999997</v>
      </c>
      <c r="E6" s="16">
        <f>'Balance Sheet'!E39</f>
        <v>4342.7199999999993</v>
      </c>
      <c r="F6" s="16">
        <f>'Balance Sheet'!F39</f>
        <v>5827.4599999999991</v>
      </c>
      <c r="G6" s="16">
        <f>'Balance Sheet'!G39</f>
        <v>6215.44</v>
      </c>
    </row>
    <row r="7" spans="2:7" ht="18.75" x14ac:dyDescent="0.25">
      <c r="B7" s="15" t="str">
        <f>'Balance Sheet'!B36</f>
        <v>Inventories</v>
      </c>
      <c r="C7" s="16">
        <f>'Balance Sheet'!C36</f>
        <v>559.4</v>
      </c>
      <c r="D7" s="16">
        <f>'Balance Sheet'!D36</f>
        <v>566.15</v>
      </c>
      <c r="E7" s="16">
        <f>'Balance Sheet'!E36</f>
        <v>553.86</v>
      </c>
      <c r="F7" s="16">
        <f>'Balance Sheet'!F36</f>
        <v>485.27</v>
      </c>
      <c r="G7" s="16">
        <f>'Balance Sheet'!G36</f>
        <v>564.65</v>
      </c>
    </row>
    <row r="8" spans="2:7" ht="18.75" x14ac:dyDescent="0.25">
      <c r="B8" s="15" t="str">
        <f>'Balance Sheet'!B19</f>
        <v>Total Current Liabilities</v>
      </c>
      <c r="C8" s="16">
        <f>'Balance Sheet'!C19</f>
        <v>441.51</v>
      </c>
      <c r="D8" s="16">
        <f>'Balance Sheet'!D19</f>
        <v>246.41</v>
      </c>
      <c r="E8" s="16">
        <f>'Balance Sheet'!E19</f>
        <v>158.06</v>
      </c>
      <c r="F8" s="16">
        <f>'Balance Sheet'!F19</f>
        <v>252.16000000000003</v>
      </c>
      <c r="G8" s="16">
        <f>'Balance Sheet'!G19</f>
        <v>396.96000000000004</v>
      </c>
    </row>
    <row r="9" spans="2:7" ht="18.75" x14ac:dyDescent="0.25">
      <c r="B9" s="17" t="s">
        <v>171</v>
      </c>
      <c r="C9" s="17">
        <f>ROUND((C6-C7)/ C8, 2)</f>
        <v>3.17</v>
      </c>
      <c r="D9" s="17">
        <f t="shared" ref="D9:G9" si="0">ROUND((D6-D7)/ D8, 2)</f>
        <v>10.07</v>
      </c>
      <c r="E9" s="17">
        <f t="shared" si="0"/>
        <v>23.97</v>
      </c>
      <c r="F9" s="17">
        <f t="shared" si="0"/>
        <v>21.19</v>
      </c>
      <c r="G9" s="17">
        <f t="shared" si="0"/>
        <v>14.24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E6E5D-FF2A-4A1C-891A-7FF3ADFD166F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3905.03</v>
      </c>
      <c r="D5" s="2">
        <v>3642.19</v>
      </c>
      <c r="E5" s="2">
        <v>3052.94</v>
      </c>
      <c r="F5" s="2">
        <v>2544.39</v>
      </c>
      <c r="G5" s="2">
        <v>4422.6099999999997</v>
      </c>
      <c r="H5" t="s">
        <v>1</v>
      </c>
    </row>
    <row r="6" spans="1:8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8" x14ac:dyDescent="0.25">
      <c r="B7" t="s">
        <v>57</v>
      </c>
      <c r="C7" s="2">
        <v>3905.03</v>
      </c>
      <c r="D7" s="2">
        <v>3642.19</v>
      </c>
      <c r="E7" s="2">
        <v>3052.94</v>
      </c>
      <c r="F7" s="2">
        <v>2544.39</v>
      </c>
      <c r="G7" s="2">
        <v>4422.6099999999997</v>
      </c>
      <c r="H7" t="s">
        <v>1</v>
      </c>
    </row>
    <row r="8" spans="1:8" x14ac:dyDescent="0.25">
      <c r="B8" t="s">
        <v>58</v>
      </c>
      <c r="C8" s="2">
        <v>3905.03</v>
      </c>
      <c r="D8" s="2">
        <v>3642.19</v>
      </c>
      <c r="E8" s="2">
        <v>3052.94</v>
      </c>
      <c r="F8" s="2">
        <v>2544.39</v>
      </c>
      <c r="G8" s="2">
        <v>4422.6099999999997</v>
      </c>
      <c r="H8" t="s">
        <v>1</v>
      </c>
    </row>
    <row r="9" spans="1:8" x14ac:dyDescent="0.25">
      <c r="A9" t="s">
        <v>59</v>
      </c>
      <c r="B9" t="s">
        <v>59</v>
      </c>
      <c r="C9">
        <v>8.23</v>
      </c>
      <c r="D9">
        <v>4.55</v>
      </c>
      <c r="E9">
        <v>-3.9</v>
      </c>
      <c r="F9">
        <v>17.850000000000001</v>
      </c>
      <c r="G9">
        <v>7.79</v>
      </c>
      <c r="H9" t="s">
        <v>1</v>
      </c>
    </row>
    <row r="10" spans="1:8" x14ac:dyDescent="0.25">
      <c r="B10" t="s">
        <v>60</v>
      </c>
      <c r="C10" s="2">
        <v>3913.26</v>
      </c>
      <c r="D10" s="2">
        <v>3646.75</v>
      </c>
      <c r="E10" s="2">
        <v>3049.03</v>
      </c>
      <c r="F10" s="2">
        <v>2562.2399999999998</v>
      </c>
      <c r="G10" s="2">
        <v>4430.3999999999996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 s="2">
        <v>2073.46</v>
      </c>
      <c r="D12">
        <v>1780.46</v>
      </c>
      <c r="E12" s="2">
        <v>1207.0999999999999</v>
      </c>
      <c r="F12" s="2">
        <v>741.5</v>
      </c>
      <c r="G12" s="2">
        <v>3844.36</v>
      </c>
      <c r="H12" t="s">
        <v>1</v>
      </c>
    </row>
    <row r="13" spans="1:8" x14ac:dyDescent="0.25">
      <c r="B13" t="s">
        <v>63</v>
      </c>
      <c r="C13">
        <v>1270.5</v>
      </c>
      <c r="D13" s="2">
        <v>1334.98</v>
      </c>
      <c r="E13" s="2">
        <v>1264.94</v>
      </c>
      <c r="F13" s="2">
        <v>1316.07</v>
      </c>
      <c r="G13" s="2">
        <v>0</v>
      </c>
      <c r="H13" t="s">
        <v>1</v>
      </c>
    </row>
    <row r="14" spans="1:8" x14ac:dyDescent="0.25">
      <c r="A14" t="s">
        <v>99</v>
      </c>
      <c r="B14" t="s">
        <v>64</v>
      </c>
      <c r="C14">
        <v>243.01</v>
      </c>
      <c r="D14">
        <v>260.26</v>
      </c>
      <c r="E14">
        <v>292.81</v>
      </c>
      <c r="F14">
        <v>198.24</v>
      </c>
      <c r="G14">
        <v>0</v>
      </c>
      <c r="H14" t="s">
        <v>1</v>
      </c>
    </row>
    <row r="15" spans="1:8" x14ac:dyDescent="0.25">
      <c r="B15" t="s">
        <v>65</v>
      </c>
      <c r="C15">
        <v>9.7799999999999994</v>
      </c>
      <c r="D15">
        <v>-36.67</v>
      </c>
      <c r="E15">
        <v>51.2</v>
      </c>
      <c r="F15">
        <v>132.68</v>
      </c>
      <c r="G15">
        <v>-32.159999999999997</v>
      </c>
      <c r="H15" t="s">
        <v>1</v>
      </c>
    </row>
    <row r="16" spans="1:8" x14ac:dyDescent="0.25">
      <c r="A16" t="s">
        <v>99</v>
      </c>
      <c r="B16" t="s">
        <v>66</v>
      </c>
      <c r="C16">
        <v>72.92</v>
      </c>
      <c r="D16">
        <v>67.47</v>
      </c>
      <c r="E16">
        <v>65.73</v>
      </c>
      <c r="F16">
        <v>55.13</v>
      </c>
      <c r="G16">
        <v>69.88</v>
      </c>
      <c r="H16" t="s">
        <v>1</v>
      </c>
    </row>
    <row r="17" spans="1:8" x14ac:dyDescent="0.25">
      <c r="A17" t="s">
        <v>100</v>
      </c>
      <c r="B17" t="s">
        <v>67</v>
      </c>
      <c r="C17">
        <v>30.56</v>
      </c>
      <c r="D17">
        <v>26.39</v>
      </c>
      <c r="E17">
        <v>19.66</v>
      </c>
      <c r="F17">
        <v>3.57</v>
      </c>
      <c r="G17">
        <v>5.27</v>
      </c>
      <c r="H17" t="s">
        <v>1</v>
      </c>
    </row>
    <row r="18" spans="1:8" x14ac:dyDescent="0.25">
      <c r="A18" t="s">
        <v>101</v>
      </c>
      <c r="B18" t="s">
        <v>68</v>
      </c>
      <c r="C18">
        <v>17.399999999999999</v>
      </c>
      <c r="D18">
        <v>17.21</v>
      </c>
      <c r="E18">
        <v>15.97</v>
      </c>
      <c r="F18">
        <v>14.85</v>
      </c>
      <c r="G18">
        <v>14.05</v>
      </c>
      <c r="H18" t="s">
        <v>1</v>
      </c>
    </row>
    <row r="19" spans="1:8" x14ac:dyDescent="0.25">
      <c r="A19" t="s">
        <v>99</v>
      </c>
      <c r="B19" t="s">
        <v>69</v>
      </c>
      <c r="C19">
        <v>63.95</v>
      </c>
      <c r="D19">
        <v>56.3</v>
      </c>
      <c r="E19">
        <v>53.88</v>
      </c>
      <c r="F19">
        <v>37.200000000000003</v>
      </c>
      <c r="G19">
        <v>410.55</v>
      </c>
      <c r="H19" t="s">
        <v>1</v>
      </c>
    </row>
    <row r="20" spans="1:8" x14ac:dyDescent="0.25">
      <c r="B20" t="s">
        <v>70</v>
      </c>
      <c r="C20" s="2">
        <v>3781.57</v>
      </c>
      <c r="D20" s="2">
        <v>3506.38</v>
      </c>
      <c r="E20" s="2">
        <v>2971.28</v>
      </c>
      <c r="F20" s="2">
        <v>2499.2399999999998</v>
      </c>
      <c r="G20" s="2">
        <v>4311.96</v>
      </c>
      <c r="H20" t="s">
        <v>1</v>
      </c>
    </row>
    <row r="21" spans="1:8" x14ac:dyDescent="0.25">
      <c r="B21" t="s">
        <v>71</v>
      </c>
      <c r="C21">
        <v>131.68</v>
      </c>
      <c r="D21">
        <v>140.37</v>
      </c>
      <c r="E21">
        <v>77.75</v>
      </c>
      <c r="F21">
        <v>63</v>
      </c>
      <c r="G21">
        <v>118.44</v>
      </c>
      <c r="H21" t="s">
        <v>1</v>
      </c>
    </row>
    <row r="22" spans="1:8" x14ac:dyDescent="0.25">
      <c r="A22" t="s">
        <v>102</v>
      </c>
      <c r="B22" t="s">
        <v>72</v>
      </c>
      <c r="C22">
        <v>-5.03</v>
      </c>
      <c r="D22">
        <v>-3.47</v>
      </c>
      <c r="E22">
        <v>-0.14000000000000001</v>
      </c>
      <c r="F22">
        <v>-3.65</v>
      </c>
      <c r="G22">
        <v>-5.3</v>
      </c>
      <c r="H22" t="s">
        <v>1</v>
      </c>
    </row>
    <row r="23" spans="1:8" x14ac:dyDescent="0.25">
      <c r="B23" t="s">
        <v>73</v>
      </c>
      <c r="C23">
        <v>126.65</v>
      </c>
      <c r="D23">
        <v>136.9</v>
      </c>
      <c r="E23">
        <v>77.61</v>
      </c>
      <c r="F23">
        <v>59.35</v>
      </c>
      <c r="G23">
        <v>113.14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>
        <v>21.09</v>
      </c>
      <c r="D25">
        <v>19.57</v>
      </c>
      <c r="E25">
        <v>13.63</v>
      </c>
      <c r="F25">
        <v>9.81</v>
      </c>
      <c r="G25">
        <v>19.09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-3.63</v>
      </c>
      <c r="D27">
        <v>1.5</v>
      </c>
      <c r="E27">
        <v>0.81</v>
      </c>
      <c r="F27">
        <v>-14.5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>
        <v>17.46</v>
      </c>
      <c r="D29">
        <v>21.07</v>
      </c>
      <c r="E29">
        <v>14.45</v>
      </c>
      <c r="F29">
        <v>-4.68</v>
      </c>
      <c r="G29">
        <v>19.09</v>
      </c>
      <c r="H29" t="s">
        <v>1</v>
      </c>
    </row>
    <row r="30" spans="1:8" x14ac:dyDescent="0.25">
      <c r="B30" t="s">
        <v>80</v>
      </c>
      <c r="C30">
        <v>109.19</v>
      </c>
      <c r="D30">
        <v>115.83</v>
      </c>
      <c r="E30">
        <v>63.17</v>
      </c>
      <c r="F30">
        <v>64.040000000000006</v>
      </c>
      <c r="G30">
        <v>94.04</v>
      </c>
      <c r="H30" t="s">
        <v>1</v>
      </c>
    </row>
    <row r="31" spans="1:8" x14ac:dyDescent="0.25">
      <c r="B31" t="s">
        <v>81</v>
      </c>
      <c r="C31">
        <v>109.19</v>
      </c>
      <c r="D31">
        <v>115.83</v>
      </c>
      <c r="E31">
        <v>63.17</v>
      </c>
      <c r="F31">
        <v>64.040000000000006</v>
      </c>
      <c r="G31">
        <v>94.04</v>
      </c>
      <c r="H31" t="s">
        <v>1</v>
      </c>
    </row>
    <row r="32" spans="1:8" x14ac:dyDescent="0.25">
      <c r="B32" t="s">
        <v>82</v>
      </c>
      <c r="C32">
        <v>109.19</v>
      </c>
      <c r="D32">
        <v>115.83</v>
      </c>
      <c r="E32">
        <v>63.17</v>
      </c>
      <c r="F32">
        <v>64.040000000000006</v>
      </c>
      <c r="G32">
        <v>94.04</v>
      </c>
      <c r="H32" t="s">
        <v>1</v>
      </c>
    </row>
    <row r="33" spans="1:8" x14ac:dyDescent="0.25">
      <c r="B33" t="s">
        <v>10</v>
      </c>
      <c r="C33">
        <v>-0.05</v>
      </c>
      <c r="D33">
        <v>-0.9</v>
      </c>
      <c r="E33">
        <v>0.24</v>
      </c>
      <c r="F33">
        <v>-0.1</v>
      </c>
      <c r="G33">
        <v>-0.22</v>
      </c>
      <c r="H33" t="s">
        <v>1</v>
      </c>
    </row>
    <row r="34" spans="1:8" x14ac:dyDescent="0.25">
      <c r="B34" t="s">
        <v>83</v>
      </c>
      <c r="C34">
        <v>109.13</v>
      </c>
      <c r="D34">
        <v>114.93</v>
      </c>
      <c r="E34">
        <v>63.4</v>
      </c>
      <c r="F34">
        <v>63.93</v>
      </c>
      <c r="G34">
        <v>93.83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68</v>
      </c>
      <c r="D37">
        <v>72</v>
      </c>
      <c r="E37">
        <v>40</v>
      </c>
      <c r="F37">
        <v>40</v>
      </c>
      <c r="G37">
        <v>59</v>
      </c>
      <c r="H37" t="s">
        <v>1</v>
      </c>
    </row>
    <row r="38" spans="1:8" x14ac:dyDescent="0.25">
      <c r="B38" t="s">
        <v>86</v>
      </c>
      <c r="C38">
        <v>68</v>
      </c>
      <c r="D38">
        <v>72</v>
      </c>
      <c r="E38">
        <v>40</v>
      </c>
      <c r="F38">
        <v>40</v>
      </c>
      <c r="G38">
        <v>59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2.4</v>
      </c>
      <c r="D40">
        <v>2.4</v>
      </c>
      <c r="E40">
        <v>2.4</v>
      </c>
      <c r="F40">
        <v>2.4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0</v>
      </c>
      <c r="E41">
        <v>0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26CC92-7B81-429E-887F-A32B5B844CB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6" width="11.5703125" bestFit="1" customWidth="1"/>
    <col min="7" max="7" width="9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1442.52</v>
      </c>
      <c r="D6" s="16">
        <f>'Income Statement'!D19</f>
        <v>1465.04</v>
      </c>
      <c r="E6" s="16">
        <f>'Income Statement'!E19</f>
        <v>1413.55</v>
      </c>
      <c r="F6" s="16">
        <f>'Income Statement'!F19</f>
        <v>1515.32</v>
      </c>
      <c r="G6" s="16">
        <f>'Income Statement'!G19</f>
        <v>91.559999999999675</v>
      </c>
    </row>
    <row r="7" spans="2:7" ht="18.75" x14ac:dyDescent="0.25">
      <c r="B7" s="15" t="str">
        <f>'Income Statement'!B20</f>
        <v>Finance Costs</v>
      </c>
      <c r="C7" s="16">
        <f>'Income Statement'!C20</f>
        <v>30.56</v>
      </c>
      <c r="D7" s="16">
        <f>'Income Statement'!D20</f>
        <v>26.39</v>
      </c>
      <c r="E7" s="16">
        <f>'Income Statement'!E20</f>
        <v>19.66</v>
      </c>
      <c r="F7" s="16">
        <f>'Income Statement'!F20</f>
        <v>3.57</v>
      </c>
      <c r="G7" s="16">
        <f>'Income Statement'!G20</f>
        <v>5.27</v>
      </c>
    </row>
    <row r="8" spans="2:7" ht="18.75" x14ac:dyDescent="0.25">
      <c r="B8" s="17" t="s">
        <v>173</v>
      </c>
      <c r="C8" s="17">
        <f>ROUND(C6/C7, 2)</f>
        <v>47.2</v>
      </c>
      <c r="D8" s="17">
        <f t="shared" ref="D8:G8" si="0">ROUND(D6/D7, 2)</f>
        <v>55.51</v>
      </c>
      <c r="E8" s="17">
        <f t="shared" si="0"/>
        <v>71.900000000000006</v>
      </c>
      <c r="F8" s="17">
        <f t="shared" si="0"/>
        <v>424.46</v>
      </c>
      <c r="G8" s="17">
        <f t="shared" si="0"/>
        <v>17.37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64359-D8DC-4FF4-A33D-071E345AAB4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2073.46</v>
      </c>
      <c r="D6" s="16">
        <f>'Income Statement'!D11</f>
        <v>1780.46</v>
      </c>
      <c r="E6" s="16">
        <f>'Income Statement'!E11</f>
        <v>1207.0999999999999</v>
      </c>
      <c r="F6" s="16">
        <f>'Income Statement'!F11</f>
        <v>741.5</v>
      </c>
      <c r="G6" s="16">
        <f>'Income Statement'!G11</f>
        <v>3844.36</v>
      </c>
    </row>
    <row r="7" spans="2:7" ht="18.75" x14ac:dyDescent="0.25">
      <c r="B7" s="15" t="str">
        <f>'Income Statement'!B7</f>
        <v>Net Sales</v>
      </c>
      <c r="C7" s="16">
        <f>'Income Statement'!C7</f>
        <v>3905.03</v>
      </c>
      <c r="D7" s="16">
        <f>'Income Statement'!D7</f>
        <v>3642.19</v>
      </c>
      <c r="E7" s="16">
        <f>'Income Statement'!E7</f>
        <v>3052.94</v>
      </c>
      <c r="F7" s="16">
        <f>'Income Statement'!F7</f>
        <v>2544.39</v>
      </c>
      <c r="G7" s="16">
        <f>'Income Statement'!G7</f>
        <v>4422.6099999999997</v>
      </c>
    </row>
    <row r="8" spans="2:7" ht="18.75" x14ac:dyDescent="0.25">
      <c r="B8" s="17" t="s">
        <v>175</v>
      </c>
      <c r="C8" s="17">
        <f>ROUND(C6/C7, 2)</f>
        <v>0.53</v>
      </c>
      <c r="D8" s="17">
        <f t="shared" ref="D8:G8" si="0">ROUND(D6/D7, 2)</f>
        <v>0.49</v>
      </c>
      <c r="E8" s="17">
        <f t="shared" si="0"/>
        <v>0.4</v>
      </c>
      <c r="F8" s="17">
        <f t="shared" si="0"/>
        <v>0.28999999999999998</v>
      </c>
      <c r="G8" s="17">
        <f t="shared" si="0"/>
        <v>0.87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86BDA-54AB-4EDF-8A3A-6E9024260EE3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5" width="11.5703125" bestFit="1" customWidth="1"/>
    <col min="6" max="6" width="12.28515625" bestFit="1" customWidth="1"/>
    <col min="7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404.85</v>
      </c>
      <c r="D6" s="16">
        <f>'Balance Sheet'!D38</f>
        <v>1651.4799999999996</v>
      </c>
      <c r="E6" s="16">
        <f>'Balance Sheet'!E38</f>
        <v>2983.6599999999994</v>
      </c>
      <c r="F6" s="16">
        <f>'Balance Sheet'!F38</f>
        <v>4450.9799999999996</v>
      </c>
      <c r="G6" s="16">
        <f>'Balance Sheet'!G38</f>
        <v>4398.78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2073.46</v>
      </c>
      <c r="D7" s="16">
        <f>'Income Statement'!D11</f>
        <v>1780.46</v>
      </c>
      <c r="E7" s="16">
        <f>'Income Statement'!E11</f>
        <v>1207.0999999999999</v>
      </c>
      <c r="F7" s="16">
        <f>'Income Statement'!F11</f>
        <v>741.5</v>
      </c>
      <c r="G7" s="16">
        <f>'Income Statement'!G11</f>
        <v>3844.36</v>
      </c>
    </row>
    <row r="8" spans="2:7" ht="18.75" x14ac:dyDescent="0.25">
      <c r="B8" s="17" t="s">
        <v>177</v>
      </c>
      <c r="C8" s="17">
        <f>ROUND(C6/C7*365, 2)</f>
        <v>71.27</v>
      </c>
      <c r="D8" s="17">
        <f t="shared" ref="D8:G8" si="0">ROUND(D6/D7*365, 2)</f>
        <v>338.56</v>
      </c>
      <c r="E8" s="17">
        <f t="shared" si="0"/>
        <v>902.19</v>
      </c>
      <c r="F8" s="17">
        <f t="shared" si="0"/>
        <v>2190.9699999999998</v>
      </c>
      <c r="G8" s="17">
        <f t="shared" si="0"/>
        <v>417.64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72E5D-266F-436C-806F-CFBDDEE573E3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0.7109375" bestFit="1" customWidth="1"/>
    <col min="4" max="7" width="12.28515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404.85</v>
      </c>
      <c r="D6" s="16">
        <f>'Balance Sheet'!D38</f>
        <v>1651.4799999999996</v>
      </c>
      <c r="E6" s="16">
        <f>'Balance Sheet'!E38</f>
        <v>2983.6599999999994</v>
      </c>
      <c r="F6" s="16">
        <f>'Balance Sheet'!F38</f>
        <v>4450.9799999999996</v>
      </c>
      <c r="G6" s="16">
        <f>'Balance Sheet'!G38</f>
        <v>4398.78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404.85</v>
      </c>
      <c r="D8" s="17">
        <f t="shared" ref="D8:G8" si="0">ROUND(D6/D7*365, 2)</f>
        <v>1651.48</v>
      </c>
      <c r="E8" s="17">
        <f t="shared" si="0"/>
        <v>2983.66</v>
      </c>
      <c r="F8" s="17">
        <f t="shared" si="0"/>
        <v>4450.9799999999996</v>
      </c>
      <c r="G8" s="17">
        <f t="shared" si="0"/>
        <v>4398.78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785417-BEE4-429F-B54E-D46F2EE7FB8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3905.03</v>
      </c>
      <c r="D6" s="16">
        <f>'Income Statement'!D5</f>
        <v>3642.19</v>
      </c>
      <c r="E6" s="16">
        <f>'Income Statement'!E5</f>
        <v>3052.94</v>
      </c>
      <c r="F6" s="16">
        <f>'Income Statement'!F5</f>
        <v>2544.39</v>
      </c>
      <c r="G6" s="16">
        <f>'Income Statement'!G5</f>
        <v>4422.6099999999997</v>
      </c>
    </row>
    <row r="7" spans="2:7" ht="18.75" x14ac:dyDescent="0.25">
      <c r="B7" s="15" t="str">
        <f>'Balance Sheet'!B40</f>
        <v>Total Assets</v>
      </c>
      <c r="C7" s="16">
        <f>'Balance Sheet'!C40</f>
        <v>2316.89</v>
      </c>
      <c r="D7" s="16">
        <f>'Balance Sheet'!D40</f>
        <v>3380.95</v>
      </c>
      <c r="E7" s="16">
        <f>'Balance Sheet'!E40</f>
        <v>4643.329999999999</v>
      </c>
      <c r="F7" s="16">
        <f>'Balance Sheet'!F40</f>
        <v>6117.1999999999989</v>
      </c>
      <c r="G7" s="16">
        <f>'Balance Sheet'!G40</f>
        <v>6464.3499999999995</v>
      </c>
    </row>
    <row r="8" spans="2:7" ht="18.75" x14ac:dyDescent="0.25">
      <c r="B8" s="17" t="s">
        <v>182</v>
      </c>
      <c r="C8" s="17">
        <f>ROUND(C6/C7, 2)</f>
        <v>1.69</v>
      </c>
      <c r="D8" s="17">
        <f t="shared" ref="D8:G8" si="0">ROUND(D6/D7, 2)</f>
        <v>1.08</v>
      </c>
      <c r="E8" s="17">
        <f t="shared" si="0"/>
        <v>0.66</v>
      </c>
      <c r="F8" s="17">
        <f t="shared" si="0"/>
        <v>0.42</v>
      </c>
      <c r="G8" s="17">
        <f t="shared" si="0"/>
        <v>0.68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C407E4-3400-4D89-8FED-88EC18A1E12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3905.03</v>
      </c>
      <c r="D6" s="16">
        <f>'Income Statement'!D5</f>
        <v>3642.19</v>
      </c>
      <c r="E6" s="16">
        <f>'Income Statement'!E5</f>
        <v>3052.94</v>
      </c>
      <c r="F6" s="16">
        <f>'Income Statement'!F5</f>
        <v>2544.39</v>
      </c>
      <c r="G6" s="16">
        <f>'Income Statement'!G5</f>
        <v>4422.6099999999997</v>
      </c>
    </row>
    <row r="7" spans="2:7" ht="18.75" x14ac:dyDescent="0.25">
      <c r="B7" s="15" t="str">
        <f>'Balance Sheet'!B36</f>
        <v>Inventories</v>
      </c>
      <c r="C7" s="16">
        <f>'Balance Sheet'!C36</f>
        <v>559.4</v>
      </c>
      <c r="D7" s="16">
        <f>'Balance Sheet'!D36</f>
        <v>566.15</v>
      </c>
      <c r="E7" s="16">
        <f>'Balance Sheet'!E36</f>
        <v>553.86</v>
      </c>
      <c r="F7" s="16">
        <f>'Balance Sheet'!F36</f>
        <v>485.27</v>
      </c>
      <c r="G7" s="16">
        <f>'Balance Sheet'!G36</f>
        <v>564.65</v>
      </c>
    </row>
    <row r="8" spans="2:7" ht="18.75" x14ac:dyDescent="0.25">
      <c r="B8" s="17" t="s">
        <v>184</v>
      </c>
      <c r="C8" s="17">
        <f>ROUND(C6/C7, 2)</f>
        <v>6.98</v>
      </c>
      <c r="D8" s="17">
        <f t="shared" ref="D8:G8" si="0">ROUND(D6/D7, 2)</f>
        <v>6.43</v>
      </c>
      <c r="E8" s="17">
        <f t="shared" si="0"/>
        <v>5.51</v>
      </c>
      <c r="F8" s="17">
        <f t="shared" si="0"/>
        <v>5.24</v>
      </c>
      <c r="G8" s="17">
        <f t="shared" si="0"/>
        <v>7.83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4B4FD-D58C-4D1A-A4C3-1FB51F4D98A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3905.03</v>
      </c>
      <c r="D6" s="16">
        <f>'Income Statement'!D5</f>
        <v>3642.19</v>
      </c>
      <c r="E6" s="16">
        <f>'Income Statement'!E5</f>
        <v>3052.94</v>
      </c>
      <c r="F6" s="16">
        <f>'Income Statement'!F5</f>
        <v>2544.39</v>
      </c>
      <c r="G6" s="16">
        <f>'Income Statement'!G5</f>
        <v>4422.6099999999997</v>
      </c>
    </row>
    <row r="7" spans="2:7" ht="18.75" x14ac:dyDescent="0.25">
      <c r="B7" s="15" t="str">
        <f>'Balance Sheet'!B37</f>
        <v>Trade Receivables</v>
      </c>
      <c r="C7" s="16">
        <f>'Balance Sheet'!C37</f>
        <v>924.85</v>
      </c>
      <c r="D7" s="16">
        <f>'Balance Sheet'!D37</f>
        <v>765.39</v>
      </c>
      <c r="E7" s="16">
        <f>'Balance Sheet'!E37</f>
        <v>667.11</v>
      </c>
      <c r="F7" s="16">
        <f>'Balance Sheet'!F37</f>
        <v>806.45</v>
      </c>
      <c r="G7" s="16">
        <f>'Balance Sheet'!G37</f>
        <v>1048.01</v>
      </c>
    </row>
    <row r="8" spans="2:7" ht="18.75" x14ac:dyDescent="0.25">
      <c r="B8" s="17" t="s">
        <v>186</v>
      </c>
      <c r="C8" s="17">
        <f>ROUND(C6/C7, 2)</f>
        <v>4.22</v>
      </c>
      <c r="D8" s="17">
        <f t="shared" ref="D8:G8" si="0">ROUND(D6/D7, 2)</f>
        <v>4.76</v>
      </c>
      <c r="E8" s="17">
        <f t="shared" si="0"/>
        <v>4.58</v>
      </c>
      <c r="F8" s="17">
        <f t="shared" si="0"/>
        <v>3.16</v>
      </c>
      <c r="G8" s="17">
        <f t="shared" si="0"/>
        <v>4.22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82A6CD-7F10-45CB-B16B-9195EA69D3A2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3905.03</v>
      </c>
      <c r="D6" s="16">
        <f>'Income Statement'!D5</f>
        <v>3642.19</v>
      </c>
      <c r="E6" s="16">
        <f>'Income Statement'!E5</f>
        <v>3052.94</v>
      </c>
      <c r="F6" s="16">
        <f>'Income Statement'!F5</f>
        <v>2544.39</v>
      </c>
      <c r="G6" s="16">
        <f>'Income Statement'!G5</f>
        <v>4422.6099999999997</v>
      </c>
    </row>
    <row r="7" spans="2:7" ht="18.75" x14ac:dyDescent="0.25">
      <c r="B7" s="15" t="str">
        <f>'Balance Sheet'!B23</f>
        <v>Tangible Assets</v>
      </c>
      <c r="C7" s="16">
        <f>'Balance Sheet'!C23</f>
        <v>291.19</v>
      </c>
      <c r="D7" s="16">
        <f>'Balance Sheet'!D23</f>
        <v>278.81</v>
      </c>
      <c r="E7" s="16">
        <f>'Balance Sheet'!E23</f>
        <v>267.35000000000002</v>
      </c>
      <c r="F7" s="16">
        <f>'Balance Sheet'!F23</f>
        <v>253.03</v>
      </c>
      <c r="G7" s="16">
        <f>'Balance Sheet'!G23</f>
        <v>227.88</v>
      </c>
    </row>
    <row r="8" spans="2:7" ht="18.75" x14ac:dyDescent="0.25">
      <c r="B8" s="17" t="s">
        <v>188</v>
      </c>
      <c r="C8" s="17">
        <f>ROUND(C6/C7, 2)</f>
        <v>13.41</v>
      </c>
      <c r="D8" s="17">
        <f t="shared" ref="D8:G8" si="0">ROUND(D6/D7, 2)</f>
        <v>13.06</v>
      </c>
      <c r="E8" s="17">
        <f t="shared" si="0"/>
        <v>11.42</v>
      </c>
      <c r="F8" s="17">
        <f t="shared" si="0"/>
        <v>10.06</v>
      </c>
      <c r="G8" s="17">
        <f t="shared" si="0"/>
        <v>19.41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CE7F30-A3CD-4329-B0B9-8D010E682226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5" width="11.5703125" bestFit="1" customWidth="1"/>
    <col min="6" max="6" width="10" bestFit="1" customWidth="1"/>
    <col min="7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2073.46</v>
      </c>
      <c r="D6" s="16">
        <f>'Income Statement'!D11</f>
        <v>1780.46</v>
      </c>
      <c r="E6" s="16">
        <f>'Income Statement'!E11</f>
        <v>1207.0999999999999</v>
      </c>
      <c r="F6" s="16">
        <f>'Income Statement'!F11</f>
        <v>741.5</v>
      </c>
      <c r="G6" s="16">
        <f>'Income Statement'!G11</f>
        <v>3844.36</v>
      </c>
    </row>
    <row r="7" spans="2:7" ht="18.75" x14ac:dyDescent="0.25">
      <c r="B7" s="15" t="str">
        <f>'Balance Sheet'!B19</f>
        <v>Total Current Liabilities</v>
      </c>
      <c r="C7" s="16">
        <f>'Balance Sheet'!C19</f>
        <v>441.51</v>
      </c>
      <c r="D7" s="16">
        <f>'Balance Sheet'!D19</f>
        <v>246.41</v>
      </c>
      <c r="E7" s="16">
        <f>'Balance Sheet'!E19</f>
        <v>158.06</v>
      </c>
      <c r="F7" s="16">
        <f>'Balance Sheet'!F19</f>
        <v>252.16000000000003</v>
      </c>
      <c r="G7" s="16">
        <f>'Balance Sheet'!G19</f>
        <v>396.96000000000004</v>
      </c>
    </row>
    <row r="8" spans="2:7" ht="18.75" x14ac:dyDescent="0.25">
      <c r="B8" s="17" t="s">
        <v>190</v>
      </c>
      <c r="C8" s="17">
        <f>ROUND(C6/C7, 2)</f>
        <v>4.7</v>
      </c>
      <c r="D8" s="17">
        <f t="shared" ref="D8:G8" si="0">ROUND(D6/D7, 2)</f>
        <v>7.23</v>
      </c>
      <c r="E8" s="17">
        <f t="shared" si="0"/>
        <v>7.64</v>
      </c>
      <c r="F8" s="17">
        <f t="shared" si="0"/>
        <v>2.94</v>
      </c>
      <c r="G8" s="17">
        <f t="shared" si="0"/>
        <v>9.68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8218A8-5240-4D2A-8367-E5B3E028B2D7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3905.03</v>
      </c>
      <c r="D6" s="16">
        <f>'Income Statement'!D5</f>
        <v>3642.19</v>
      </c>
      <c r="E6" s="16">
        <f>'Income Statement'!E5</f>
        <v>3052.94</v>
      </c>
      <c r="F6" s="16">
        <f>'Income Statement'!F5</f>
        <v>2544.39</v>
      </c>
      <c r="G6" s="16">
        <f>'Income Statement'!G5</f>
        <v>4422.6099999999997</v>
      </c>
    </row>
    <row r="7" spans="2:7" ht="18.75" x14ac:dyDescent="0.25">
      <c r="B7" s="15" t="str">
        <f>'Balance Sheet'!B36</f>
        <v>Inventories</v>
      </c>
      <c r="C7" s="16">
        <f>'Balance Sheet'!C36</f>
        <v>559.4</v>
      </c>
      <c r="D7" s="16">
        <f>'Balance Sheet'!D36</f>
        <v>566.15</v>
      </c>
      <c r="E7" s="16">
        <f>'Balance Sheet'!E36</f>
        <v>553.86</v>
      </c>
      <c r="F7" s="16">
        <f>'Balance Sheet'!F36</f>
        <v>485.27</v>
      </c>
      <c r="G7" s="16">
        <f>'Balance Sheet'!G36</f>
        <v>564.65</v>
      </c>
    </row>
    <row r="8" spans="2:7" ht="18.75" x14ac:dyDescent="0.25">
      <c r="B8" s="17" t="s">
        <v>192</v>
      </c>
      <c r="C8" s="17">
        <f>ROUND(365/C6*C7, 2)</f>
        <v>52.29</v>
      </c>
      <c r="D8" s="17">
        <f t="shared" ref="D8:G8" si="0">ROUND(365/D6*D7, 2)</f>
        <v>56.74</v>
      </c>
      <c r="E8" s="17">
        <f t="shared" si="0"/>
        <v>66.22</v>
      </c>
      <c r="F8" s="17">
        <f t="shared" si="0"/>
        <v>69.61</v>
      </c>
      <c r="G8" s="17">
        <f t="shared" si="0"/>
        <v>46.6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270FE-68B4-4FBA-ABE5-0275D5451538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4" width="18.85546875" bestFit="1" customWidth="1"/>
    <col min="5" max="6" width="13.7109375" bestFit="1" customWidth="1"/>
    <col min="7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3905.03</v>
      </c>
      <c r="D5" s="5">
        <v>3642.19</v>
      </c>
      <c r="E5" s="5">
        <v>3052.94</v>
      </c>
      <c r="F5" s="5">
        <v>2544.39</v>
      </c>
      <c r="G5" s="5">
        <v>4422.6099999999997</v>
      </c>
    </row>
    <row r="6" spans="2:7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7" ht="18.75" x14ac:dyDescent="0.25">
      <c r="B7" s="9" t="s">
        <v>105</v>
      </c>
      <c r="C7" s="7">
        <f>C5 - C6</f>
        <v>3905.03</v>
      </c>
      <c r="D7" s="7">
        <f t="shared" ref="D7:G7" si="0">D5 - D6</f>
        <v>3642.19</v>
      </c>
      <c r="E7" s="7">
        <f t="shared" si="0"/>
        <v>3052.94</v>
      </c>
      <c r="F7" s="7">
        <f t="shared" si="0"/>
        <v>2544.39</v>
      </c>
      <c r="G7" s="7">
        <f t="shared" si="0"/>
        <v>4422.6099999999997</v>
      </c>
    </row>
    <row r="8" spans="2:7" ht="18.75" x14ac:dyDescent="0.25">
      <c r="B8" s="8" t="s">
        <v>59</v>
      </c>
      <c r="C8" s="4">
        <v>8.23</v>
      </c>
      <c r="D8" s="4">
        <v>4.55</v>
      </c>
      <c r="E8" s="4">
        <v>-3.9</v>
      </c>
      <c r="F8" s="4">
        <v>17.850000000000001</v>
      </c>
      <c r="G8" s="4">
        <v>7.79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3913.26</v>
      </c>
      <c r="D10" s="7">
        <f t="shared" ref="D10:G10" si="1">SUM(D7:D9)</f>
        <v>3646.7400000000002</v>
      </c>
      <c r="E10" s="7">
        <f t="shared" si="1"/>
        <v>3049.04</v>
      </c>
      <c r="F10" s="7">
        <f t="shared" si="1"/>
        <v>2562.2399999999998</v>
      </c>
      <c r="G10" s="7">
        <f t="shared" si="1"/>
        <v>4430.3999999999996</v>
      </c>
    </row>
    <row r="11" spans="2:7" ht="18.75" x14ac:dyDescent="0.25">
      <c r="B11" s="8" t="s">
        <v>62</v>
      </c>
      <c r="C11" s="5">
        <v>2073.46</v>
      </c>
      <c r="D11" s="4">
        <v>1780.46</v>
      </c>
      <c r="E11" s="5">
        <v>1207.0999999999999</v>
      </c>
      <c r="F11" s="5">
        <v>741.5</v>
      </c>
      <c r="G11" s="5">
        <v>3844.36</v>
      </c>
    </row>
    <row r="12" spans="2:7" ht="18.75" x14ac:dyDescent="0.25">
      <c r="B12" s="8" t="s">
        <v>64</v>
      </c>
      <c r="C12" s="4">
        <v>243.01</v>
      </c>
      <c r="D12" s="4">
        <v>260.26</v>
      </c>
      <c r="E12" s="4">
        <v>292.81</v>
      </c>
      <c r="F12" s="4">
        <v>198.24</v>
      </c>
      <c r="G12" s="4">
        <v>0</v>
      </c>
    </row>
    <row r="13" spans="2:7" ht="18.75" x14ac:dyDescent="0.25">
      <c r="B13" s="8" t="s">
        <v>66</v>
      </c>
      <c r="C13" s="4">
        <v>72.92</v>
      </c>
      <c r="D13" s="4">
        <v>67.47</v>
      </c>
      <c r="E13" s="4">
        <v>65.73</v>
      </c>
      <c r="F13" s="4">
        <v>55.13</v>
      </c>
      <c r="G13" s="4">
        <v>69.88</v>
      </c>
    </row>
    <row r="14" spans="2:7" ht="18.75" x14ac:dyDescent="0.25">
      <c r="B14" s="8" t="s">
        <v>69</v>
      </c>
      <c r="C14" s="4">
        <v>63.95</v>
      </c>
      <c r="D14" s="4">
        <v>56.3</v>
      </c>
      <c r="E14" s="4">
        <v>53.88</v>
      </c>
      <c r="F14" s="4">
        <v>37.200000000000003</v>
      </c>
      <c r="G14" s="4">
        <v>410.55</v>
      </c>
    </row>
    <row r="15" spans="2:7" ht="18.75" x14ac:dyDescent="0.25">
      <c r="B15" s="9" t="s">
        <v>108</v>
      </c>
      <c r="C15" s="7">
        <f>C11+C12+C13+C14</f>
        <v>2453.34</v>
      </c>
      <c r="D15" s="7">
        <f t="shared" ref="D15:G15" si="2">D11+D12+D13+D14</f>
        <v>2164.4900000000002</v>
      </c>
      <c r="E15" s="7">
        <f t="shared" si="2"/>
        <v>1619.52</v>
      </c>
      <c r="F15" s="7">
        <f t="shared" si="2"/>
        <v>1032.07</v>
      </c>
      <c r="G15" s="7">
        <f t="shared" si="2"/>
        <v>4324.79</v>
      </c>
    </row>
    <row r="16" spans="2:7" ht="18.75" x14ac:dyDescent="0.25">
      <c r="B16" s="9" t="s">
        <v>109</v>
      </c>
      <c r="C16" s="7">
        <f xml:space="preserve"> C10-C15-C8</f>
        <v>1451.69</v>
      </c>
      <c r="D16" s="7">
        <f t="shared" ref="D16:G16" si="3" xml:space="preserve"> D10-D15-D8</f>
        <v>1477.7</v>
      </c>
      <c r="E16" s="7">
        <f t="shared" si="3"/>
        <v>1433.42</v>
      </c>
      <c r="F16" s="7">
        <f t="shared" si="3"/>
        <v>1512.32</v>
      </c>
      <c r="G16" s="7">
        <f t="shared" si="3"/>
        <v>97.819999999999666</v>
      </c>
    </row>
    <row r="17" spans="2:7" ht="18.75" x14ac:dyDescent="0.25">
      <c r="B17" s="9" t="s">
        <v>110</v>
      </c>
      <c r="C17" s="7">
        <f xml:space="preserve"> C16+C8</f>
        <v>1459.92</v>
      </c>
      <c r="D17" s="7">
        <f t="shared" ref="D17:G17" si="4" xml:space="preserve"> D16+D8</f>
        <v>1482.25</v>
      </c>
      <c r="E17" s="7">
        <f t="shared" si="4"/>
        <v>1429.52</v>
      </c>
      <c r="F17" s="7">
        <f t="shared" si="4"/>
        <v>1530.1699999999998</v>
      </c>
      <c r="G17" s="7">
        <f t="shared" si="4"/>
        <v>105.60999999999967</v>
      </c>
    </row>
    <row r="18" spans="2:7" ht="18.75" x14ac:dyDescent="0.25">
      <c r="B18" s="8" t="s">
        <v>68</v>
      </c>
      <c r="C18" s="4">
        <v>17.399999999999999</v>
      </c>
      <c r="D18" s="4">
        <v>17.21</v>
      </c>
      <c r="E18" s="4">
        <v>15.97</v>
      </c>
      <c r="F18" s="4">
        <v>14.85</v>
      </c>
      <c r="G18" s="4">
        <v>14.05</v>
      </c>
    </row>
    <row r="19" spans="2:7" ht="18.75" x14ac:dyDescent="0.25">
      <c r="B19" s="9" t="s">
        <v>111</v>
      </c>
      <c r="C19" s="7">
        <f xml:space="preserve"> C17-C18</f>
        <v>1442.52</v>
      </c>
      <c r="D19" s="7">
        <f t="shared" ref="D19:G19" si="5" xml:space="preserve"> D17-D18</f>
        <v>1465.04</v>
      </c>
      <c r="E19" s="7">
        <f t="shared" si="5"/>
        <v>1413.55</v>
      </c>
      <c r="F19" s="7">
        <f t="shared" si="5"/>
        <v>1515.32</v>
      </c>
      <c r="G19" s="7">
        <f t="shared" si="5"/>
        <v>91.559999999999675</v>
      </c>
    </row>
    <row r="20" spans="2:7" ht="18.75" x14ac:dyDescent="0.25">
      <c r="B20" s="8" t="s">
        <v>67</v>
      </c>
      <c r="C20" s="4">
        <v>30.56</v>
      </c>
      <c r="D20" s="4">
        <v>26.39</v>
      </c>
      <c r="E20" s="4">
        <v>19.66</v>
      </c>
      <c r="F20" s="4">
        <v>3.57</v>
      </c>
      <c r="G20" s="4">
        <v>5.27</v>
      </c>
    </row>
    <row r="21" spans="2:7" ht="18.75" x14ac:dyDescent="0.25">
      <c r="B21" s="9" t="s">
        <v>112</v>
      </c>
      <c r="C21" s="7">
        <f xml:space="preserve"> C19-C20</f>
        <v>1411.96</v>
      </c>
      <c r="D21" s="7">
        <f t="shared" ref="D21:G21" si="6" xml:space="preserve"> D19-D20</f>
        <v>1438.6499999999999</v>
      </c>
      <c r="E21" s="7">
        <f t="shared" si="6"/>
        <v>1393.8899999999999</v>
      </c>
      <c r="F21" s="7">
        <f t="shared" si="6"/>
        <v>1511.75</v>
      </c>
      <c r="G21" s="7">
        <f t="shared" si="6"/>
        <v>86.289999999999679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1411.96</v>
      </c>
      <c r="D23" s="7">
        <f t="shared" ref="D23:G23" si="7" xml:space="preserve"> D21+D22</f>
        <v>1438.6499999999999</v>
      </c>
      <c r="E23" s="7">
        <f t="shared" si="7"/>
        <v>1393.8899999999999</v>
      </c>
      <c r="F23" s="7">
        <f t="shared" si="7"/>
        <v>1511.75</v>
      </c>
      <c r="G23" s="7">
        <f t="shared" si="7"/>
        <v>86.289999999999679</v>
      </c>
    </row>
    <row r="24" spans="2:7" ht="18.75" x14ac:dyDescent="0.25">
      <c r="B24" s="8" t="s">
        <v>72</v>
      </c>
      <c r="C24" s="4">
        <v>-5.03</v>
      </c>
      <c r="D24" s="4">
        <v>-3.47</v>
      </c>
      <c r="E24" s="4">
        <v>-0.14000000000000001</v>
      </c>
      <c r="F24" s="4">
        <v>-3.65</v>
      </c>
      <c r="G24" s="4">
        <v>-5.3</v>
      </c>
    </row>
    <row r="25" spans="2:7" ht="18.75" x14ac:dyDescent="0.25">
      <c r="B25" s="9" t="s">
        <v>115</v>
      </c>
      <c r="C25" s="7">
        <f xml:space="preserve"> C23+C24</f>
        <v>1406.93</v>
      </c>
      <c r="D25" s="7">
        <f t="shared" ref="D25:G25" si="8" xml:space="preserve"> D23+D24</f>
        <v>1435.1799999999998</v>
      </c>
      <c r="E25" s="7">
        <f t="shared" si="8"/>
        <v>1393.7499999999998</v>
      </c>
      <c r="F25" s="7">
        <f t="shared" si="8"/>
        <v>1508.1</v>
      </c>
      <c r="G25" s="7">
        <f t="shared" si="8"/>
        <v>80.989999999999682</v>
      </c>
    </row>
    <row r="26" spans="2:7" ht="18.75" x14ac:dyDescent="0.25">
      <c r="B26" s="8" t="s">
        <v>79</v>
      </c>
      <c r="C26" s="4">
        <v>17.46</v>
      </c>
      <c r="D26" s="4">
        <v>21.07</v>
      </c>
      <c r="E26" s="4">
        <v>14.45</v>
      </c>
      <c r="F26" s="4">
        <v>-4.68</v>
      </c>
      <c r="G26" s="4">
        <v>19.09</v>
      </c>
    </row>
    <row r="27" spans="2:7" ht="18.75" x14ac:dyDescent="0.25">
      <c r="B27" s="9" t="s">
        <v>116</v>
      </c>
      <c r="C27" s="7">
        <f xml:space="preserve"> C25-C26</f>
        <v>1389.47</v>
      </c>
      <c r="D27" s="7">
        <f t="shared" ref="D27:G27" si="9" xml:space="preserve"> D25-D26</f>
        <v>1414.11</v>
      </c>
      <c r="E27" s="7">
        <f t="shared" si="9"/>
        <v>1379.2999999999997</v>
      </c>
      <c r="F27" s="7">
        <f t="shared" si="9"/>
        <v>1512.78</v>
      </c>
      <c r="G27" s="7">
        <f t="shared" si="9"/>
        <v>61.899999999999679</v>
      </c>
    </row>
    <row r="28" spans="2:7" ht="18.75" x14ac:dyDescent="0.25">
      <c r="B28" s="8" t="s">
        <v>88</v>
      </c>
      <c r="C28" s="4">
        <v>2.4</v>
      </c>
      <c r="D28" s="4">
        <v>2.4</v>
      </c>
      <c r="E28" s="4">
        <v>2.4</v>
      </c>
      <c r="F28" s="4">
        <v>2.4</v>
      </c>
      <c r="G28" s="4">
        <v>0</v>
      </c>
    </row>
    <row r="29" spans="2:7" ht="18.75" x14ac:dyDescent="0.25">
      <c r="B29" s="8" t="s">
        <v>89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1387.07</v>
      </c>
      <c r="D30" s="7">
        <f t="shared" ref="D30:G30" si="10" xml:space="preserve"> D27-D28-D29</f>
        <v>1411.7099999999998</v>
      </c>
      <c r="E30" s="7">
        <f t="shared" si="10"/>
        <v>1376.8999999999996</v>
      </c>
      <c r="F30" s="7">
        <f t="shared" si="10"/>
        <v>1510.3799999999999</v>
      </c>
      <c r="G30" s="7">
        <f t="shared" si="10"/>
        <v>61.899999999999679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68</v>
      </c>
      <c r="D34" s="4">
        <v>72</v>
      </c>
      <c r="E34" s="4">
        <v>40</v>
      </c>
      <c r="F34" s="4">
        <v>40</v>
      </c>
      <c r="G34" s="4">
        <v>59</v>
      </c>
    </row>
    <row r="35" spans="2:7" ht="18.75" x14ac:dyDescent="0.25">
      <c r="B35" s="8" t="s">
        <v>118</v>
      </c>
      <c r="C35" s="4">
        <f>C27/C34</f>
        <v>20.433382352941177</v>
      </c>
      <c r="D35" s="4">
        <f t="shared" ref="D35:G35" si="11">D27/D34</f>
        <v>19.640416666666667</v>
      </c>
      <c r="E35" s="4">
        <f t="shared" si="11"/>
        <v>34.482499999999995</v>
      </c>
      <c r="F35" s="4">
        <f t="shared" si="11"/>
        <v>37.819499999999998</v>
      </c>
      <c r="G35" s="4">
        <f t="shared" si="11"/>
        <v>1.0491525423728758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C0311-1834-4591-BE1B-1E7F7EEE44D8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5" width="11.5703125" bestFit="1" customWidth="1"/>
    <col min="6" max="6" width="10.7109375" bestFit="1" customWidth="1"/>
    <col min="7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2073.46</v>
      </c>
      <c r="D6" s="16">
        <f>'Income Statement'!D11</f>
        <v>1780.46</v>
      </c>
      <c r="E6" s="16">
        <f>'Income Statement'!E11</f>
        <v>1207.0999999999999</v>
      </c>
      <c r="F6" s="16">
        <f>'Income Statement'!F11</f>
        <v>741.5</v>
      </c>
      <c r="G6" s="16">
        <f>'Income Statement'!G11</f>
        <v>3844.36</v>
      </c>
    </row>
    <row r="7" spans="2:7" ht="18.75" x14ac:dyDescent="0.25">
      <c r="B7" s="15" t="str">
        <f>'Balance Sheet'!B19</f>
        <v>Total Current Liabilities</v>
      </c>
      <c r="C7" s="16">
        <f>'Balance Sheet'!C19</f>
        <v>441.51</v>
      </c>
      <c r="D7" s="16">
        <f>'Balance Sheet'!D19</f>
        <v>246.41</v>
      </c>
      <c r="E7" s="16">
        <f>'Balance Sheet'!E19</f>
        <v>158.06</v>
      </c>
      <c r="F7" s="16">
        <f>'Balance Sheet'!F19</f>
        <v>252.16000000000003</v>
      </c>
      <c r="G7" s="16">
        <f>'Balance Sheet'!G19</f>
        <v>396.96000000000004</v>
      </c>
    </row>
    <row r="8" spans="2:7" ht="18.75" x14ac:dyDescent="0.25">
      <c r="B8" s="17" t="s">
        <v>194</v>
      </c>
      <c r="C8" s="17">
        <f>ROUND(365/C6*C7, 2)</f>
        <v>77.72</v>
      </c>
      <c r="D8" s="17">
        <f t="shared" ref="D8:G8" si="0">ROUND(365/D6*D7, 2)</f>
        <v>50.51</v>
      </c>
      <c r="E8" s="17">
        <f t="shared" si="0"/>
        <v>47.79</v>
      </c>
      <c r="F8" s="17">
        <f t="shared" si="0"/>
        <v>124.12</v>
      </c>
      <c r="G8" s="17">
        <f t="shared" si="0"/>
        <v>37.69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EFB5FB-28F4-42E2-88FF-F9B76C27271A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3905.03</v>
      </c>
      <c r="D6" s="16">
        <f>'Income Statement'!D5</f>
        <v>3642.19</v>
      </c>
      <c r="E6" s="16">
        <f>'Income Statement'!E5</f>
        <v>3052.94</v>
      </c>
      <c r="F6" s="16">
        <f>'Income Statement'!F5</f>
        <v>2544.39</v>
      </c>
      <c r="G6" s="16">
        <f>'Income Statement'!G5</f>
        <v>4422.6099999999997</v>
      </c>
    </row>
    <row r="7" spans="2:7" ht="18.75" x14ac:dyDescent="0.25">
      <c r="B7" s="15" t="str">
        <f>'Balance Sheet'!B37</f>
        <v>Trade Receivables</v>
      </c>
      <c r="C7" s="16">
        <f>'Balance Sheet'!C37</f>
        <v>924.85</v>
      </c>
      <c r="D7" s="16">
        <f>'Balance Sheet'!D37</f>
        <v>765.39</v>
      </c>
      <c r="E7" s="16">
        <f>'Balance Sheet'!E37</f>
        <v>667.11</v>
      </c>
      <c r="F7" s="16">
        <f>'Balance Sheet'!F37</f>
        <v>806.45</v>
      </c>
      <c r="G7" s="16">
        <f>'Balance Sheet'!G37</f>
        <v>1048.01</v>
      </c>
    </row>
    <row r="8" spans="2:7" ht="18.75" x14ac:dyDescent="0.25">
      <c r="B8" s="17" t="s">
        <v>196</v>
      </c>
      <c r="C8" s="17">
        <f>ROUND(365/C6*C7, 2)</f>
        <v>86.44</v>
      </c>
      <c r="D8" s="17">
        <f t="shared" ref="D8:G8" si="0">ROUND(365/D6*D7, 2)</f>
        <v>76.7</v>
      </c>
      <c r="E8" s="17">
        <f t="shared" si="0"/>
        <v>79.760000000000005</v>
      </c>
      <c r="F8" s="17">
        <f t="shared" si="0"/>
        <v>115.69</v>
      </c>
      <c r="G8" s="17">
        <f t="shared" si="0"/>
        <v>86.49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C97A26-678B-4823-A1DE-F1DA84651D4D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3905.03</v>
      </c>
      <c r="D6" s="16">
        <f>'Income Statement'!D5</f>
        <v>3642.19</v>
      </c>
      <c r="E6" s="16">
        <f>'Income Statement'!E5</f>
        <v>3052.94</v>
      </c>
      <c r="F6" s="16">
        <f>'Income Statement'!F5</f>
        <v>2544.39</v>
      </c>
      <c r="G6" s="16">
        <f>'Income Statement'!G5</f>
        <v>4422.6099999999997</v>
      </c>
    </row>
    <row r="7" spans="2:7" ht="18.75" x14ac:dyDescent="0.25">
      <c r="B7" s="15" t="str">
        <f>'Balance Sheet'!B36</f>
        <v>Inventories</v>
      </c>
      <c r="C7" s="16">
        <f>'Balance Sheet'!C36</f>
        <v>559.4</v>
      </c>
      <c r="D7" s="16">
        <f>'Balance Sheet'!D36</f>
        <v>566.15</v>
      </c>
      <c r="E7" s="16">
        <f>'Balance Sheet'!E36</f>
        <v>553.86</v>
      </c>
      <c r="F7" s="16">
        <f>'Balance Sheet'!F36</f>
        <v>485.27</v>
      </c>
      <c r="G7" s="16">
        <f>'Balance Sheet'!G36</f>
        <v>564.65</v>
      </c>
    </row>
    <row r="8" spans="2:7" ht="18.75" x14ac:dyDescent="0.25">
      <c r="B8" s="15" t="s">
        <v>192</v>
      </c>
      <c r="C8" s="16">
        <f>ROUND(365/C6*C7, 2)</f>
        <v>52.29</v>
      </c>
      <c r="D8" s="16">
        <f t="shared" ref="D8:G8" si="0">ROUND(365/D6*D7, 2)</f>
        <v>56.74</v>
      </c>
      <c r="E8" s="16">
        <f t="shared" si="0"/>
        <v>66.22</v>
      </c>
      <c r="F8" s="16">
        <f t="shared" si="0"/>
        <v>69.61</v>
      </c>
      <c r="G8" s="16">
        <f t="shared" si="0"/>
        <v>46.6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2073.46</v>
      </c>
      <c r="D9" s="16">
        <f>'Income Statement'!D11</f>
        <v>1780.46</v>
      </c>
      <c r="E9" s="16">
        <f>'Income Statement'!E11</f>
        <v>1207.0999999999999</v>
      </c>
      <c r="F9" s="16">
        <f>'Income Statement'!F11</f>
        <v>741.5</v>
      </c>
      <c r="G9" s="16">
        <f>'Income Statement'!G11</f>
        <v>3844.36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441.51</v>
      </c>
      <c r="D10" s="16">
        <f>'Balance Sheet'!D19</f>
        <v>246.41</v>
      </c>
      <c r="E10" s="16">
        <f>'Balance Sheet'!E19</f>
        <v>158.06</v>
      </c>
      <c r="F10" s="16">
        <f>'Balance Sheet'!F19</f>
        <v>252.16000000000003</v>
      </c>
      <c r="G10" s="16">
        <f>'Balance Sheet'!G19</f>
        <v>396.96000000000004</v>
      </c>
    </row>
    <row r="11" spans="2:7" ht="18.75" x14ac:dyDescent="0.25">
      <c r="B11" s="15" t="s">
        <v>194</v>
      </c>
      <c r="C11" s="16">
        <f>ROUND(365/C9*C10, 2)</f>
        <v>77.72</v>
      </c>
      <c r="D11" s="16">
        <f t="shared" ref="D11:G11" si="1">ROUND(365/D9*D10, 2)</f>
        <v>50.51</v>
      </c>
      <c r="E11" s="16">
        <f t="shared" si="1"/>
        <v>47.79</v>
      </c>
      <c r="F11" s="16">
        <f t="shared" si="1"/>
        <v>124.12</v>
      </c>
      <c r="G11" s="16">
        <f t="shared" si="1"/>
        <v>37.69</v>
      </c>
    </row>
    <row r="12" spans="2:7" ht="18.75" x14ac:dyDescent="0.25">
      <c r="B12" s="17" t="s">
        <v>198</v>
      </c>
      <c r="C12" s="28">
        <f>ROUND(C11+C8, 2)</f>
        <v>130.01</v>
      </c>
      <c r="D12" s="28">
        <f t="shared" ref="D12:G12" si="2">ROUND(D11+D8, 2)</f>
        <v>107.25</v>
      </c>
      <c r="E12" s="28">
        <f t="shared" si="2"/>
        <v>114.01</v>
      </c>
      <c r="F12" s="28">
        <f t="shared" si="2"/>
        <v>193.73</v>
      </c>
      <c r="G12" s="28">
        <f t="shared" si="2"/>
        <v>84.29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F80E73-3B07-4BC1-9AF6-B5FCFAFF22C4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3905.03</v>
      </c>
      <c r="D6" s="16">
        <f>'Income Statement'!D5</f>
        <v>3642.19</v>
      </c>
      <c r="E6" s="16">
        <f>'Income Statement'!E5</f>
        <v>3052.94</v>
      </c>
      <c r="F6" s="16">
        <f>'Income Statement'!F5</f>
        <v>2544.39</v>
      </c>
      <c r="G6" s="16">
        <f>'Income Statement'!G5</f>
        <v>4422.6099999999997</v>
      </c>
    </row>
    <row r="7" spans="2:7" ht="18.75" x14ac:dyDescent="0.25">
      <c r="B7" s="15" t="str">
        <f>'Balance Sheet'!B36</f>
        <v>Inventories</v>
      </c>
      <c r="C7" s="16">
        <f>'Balance Sheet'!C36</f>
        <v>559.4</v>
      </c>
      <c r="D7" s="16">
        <f>'Balance Sheet'!D36</f>
        <v>566.15</v>
      </c>
      <c r="E7" s="16">
        <f>'Balance Sheet'!E36</f>
        <v>553.86</v>
      </c>
      <c r="F7" s="16">
        <f>'Balance Sheet'!F36</f>
        <v>485.27</v>
      </c>
      <c r="G7" s="16">
        <f>'Balance Sheet'!G36</f>
        <v>564.65</v>
      </c>
    </row>
    <row r="8" spans="2:7" ht="18.75" x14ac:dyDescent="0.25">
      <c r="B8" s="15" t="s">
        <v>192</v>
      </c>
      <c r="C8" s="16">
        <f>ROUND(365/C6*C7, 2)</f>
        <v>52.29</v>
      </c>
      <c r="D8" s="16">
        <f t="shared" ref="D8:G8" si="0">ROUND(365/D6*D7, 2)</f>
        <v>56.74</v>
      </c>
      <c r="E8" s="16">
        <f t="shared" si="0"/>
        <v>66.22</v>
      </c>
      <c r="F8" s="16">
        <f t="shared" si="0"/>
        <v>69.61</v>
      </c>
      <c r="G8" s="16">
        <f t="shared" si="0"/>
        <v>46.6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2073.46</v>
      </c>
      <c r="D9" s="16">
        <f>'Income Statement'!D11</f>
        <v>1780.46</v>
      </c>
      <c r="E9" s="16">
        <f>'Income Statement'!E11</f>
        <v>1207.0999999999999</v>
      </c>
      <c r="F9" s="16">
        <f>'Income Statement'!F11</f>
        <v>741.5</v>
      </c>
      <c r="G9" s="16">
        <f>'Income Statement'!G11</f>
        <v>3844.36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441.51</v>
      </c>
      <c r="D10" s="16">
        <f>'Balance Sheet'!D19</f>
        <v>246.41</v>
      </c>
      <c r="E10" s="16">
        <f>'Balance Sheet'!E19</f>
        <v>158.06</v>
      </c>
      <c r="F10" s="16">
        <f>'Balance Sheet'!F19</f>
        <v>252.16000000000003</v>
      </c>
      <c r="G10" s="16">
        <f>'Balance Sheet'!G19</f>
        <v>396.96000000000004</v>
      </c>
    </row>
    <row r="11" spans="2:7" ht="18.75" x14ac:dyDescent="0.25">
      <c r="B11" s="15" t="s">
        <v>194</v>
      </c>
      <c r="C11" s="16">
        <f>ROUND(365/C9*C10, 2)</f>
        <v>77.72</v>
      </c>
      <c r="D11" s="16">
        <f t="shared" ref="D11:G11" si="1">ROUND(365/D9*D10, 2)</f>
        <v>50.51</v>
      </c>
      <c r="E11" s="16">
        <f t="shared" si="1"/>
        <v>47.79</v>
      </c>
      <c r="F11" s="16">
        <f t="shared" si="1"/>
        <v>124.12</v>
      </c>
      <c r="G11" s="16">
        <f t="shared" si="1"/>
        <v>37.69</v>
      </c>
    </row>
    <row r="12" spans="2:7" ht="18.75" x14ac:dyDescent="0.25">
      <c r="B12" s="15" t="s">
        <v>200</v>
      </c>
      <c r="C12" s="16">
        <f>ROUND(C11+C8, 2)</f>
        <v>130.01</v>
      </c>
      <c r="D12" s="16">
        <f t="shared" ref="D12:G12" si="2">ROUND(D11+D8, 2)</f>
        <v>107.25</v>
      </c>
      <c r="E12" s="16">
        <f t="shared" si="2"/>
        <v>114.01</v>
      </c>
      <c r="F12" s="16">
        <f t="shared" si="2"/>
        <v>193.73</v>
      </c>
      <c r="G12" s="16">
        <f t="shared" si="2"/>
        <v>84.29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2073.46</v>
      </c>
      <c r="D13" s="16">
        <f>'Income Statement'!D11</f>
        <v>1780.46</v>
      </c>
      <c r="E13" s="16">
        <f>'Income Statement'!E11</f>
        <v>1207.0999999999999</v>
      </c>
      <c r="F13" s="16">
        <f>'Income Statement'!F11</f>
        <v>741.5</v>
      </c>
      <c r="G13" s="16">
        <f>'Income Statement'!G11</f>
        <v>3844.36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441.51</v>
      </c>
      <c r="D14" s="16">
        <f>'Balance Sheet'!D19</f>
        <v>246.41</v>
      </c>
      <c r="E14" s="16">
        <f>'Balance Sheet'!E19</f>
        <v>158.06</v>
      </c>
      <c r="F14" s="16">
        <f>'Balance Sheet'!F19</f>
        <v>252.16000000000003</v>
      </c>
      <c r="G14" s="16">
        <f>'Balance Sheet'!G19</f>
        <v>396.96000000000004</v>
      </c>
    </row>
    <row r="15" spans="2:7" ht="18.75" x14ac:dyDescent="0.25">
      <c r="B15" s="15" t="s">
        <v>194</v>
      </c>
      <c r="C15" s="16">
        <f>ROUND(365/C13*C14, 2)</f>
        <v>77.72</v>
      </c>
      <c r="D15" s="16">
        <f t="shared" ref="D15:G15" si="3">ROUND(365/D13*D14, 2)</f>
        <v>50.51</v>
      </c>
      <c r="E15" s="16">
        <f t="shared" si="3"/>
        <v>47.79</v>
      </c>
      <c r="F15" s="16">
        <f t="shared" si="3"/>
        <v>124.12</v>
      </c>
      <c r="G15" s="16">
        <f t="shared" si="3"/>
        <v>37.69</v>
      </c>
    </row>
    <row r="16" spans="2:7" ht="18.75" x14ac:dyDescent="0.25">
      <c r="B16" s="17" t="s">
        <v>201</v>
      </c>
      <c r="C16" s="28">
        <f>ROUND(C15-C12, 2)</f>
        <v>-52.29</v>
      </c>
      <c r="D16" s="28">
        <f t="shared" ref="D16:G16" si="4">ROUND(D15-D12, 2)</f>
        <v>-56.74</v>
      </c>
      <c r="E16" s="28">
        <f t="shared" si="4"/>
        <v>-66.22</v>
      </c>
      <c r="F16" s="28">
        <f t="shared" si="4"/>
        <v>-69.61</v>
      </c>
      <c r="G16" s="28">
        <f t="shared" si="4"/>
        <v>-46.6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96265-5A8B-44E7-BE3B-D1A96F77943D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983.81999999999994</v>
      </c>
      <c r="D5" s="16">
        <f>'Balance Sheet'!D9</f>
        <v>2395.5299999999997</v>
      </c>
      <c r="E5" s="16">
        <f>'Balance Sheet'!E9</f>
        <v>3772.4299999999994</v>
      </c>
      <c r="F5" s="16">
        <f>'Balance Sheet'!F9</f>
        <v>5282.8099999999995</v>
      </c>
      <c r="G5" s="16">
        <f>'Balance Sheet'!G9</f>
        <v>5344.7099999999991</v>
      </c>
    </row>
    <row r="6" spans="2:7" ht="18.75" x14ac:dyDescent="0.25">
      <c r="B6" s="15" t="str">
        <f>'Balance Sheet'!B21</f>
        <v>Total Liabilities</v>
      </c>
      <c r="C6" s="16">
        <f>'Balance Sheet'!C21</f>
        <v>2316.89</v>
      </c>
      <c r="D6" s="16">
        <f>'Balance Sheet'!D21</f>
        <v>3380.95</v>
      </c>
      <c r="E6" s="16">
        <f>'Balance Sheet'!E21</f>
        <v>4643.33</v>
      </c>
      <c r="F6" s="16">
        <f>'Balance Sheet'!F21</f>
        <v>6117.1999999999989</v>
      </c>
      <c r="G6" s="16">
        <f>'Balance Sheet'!G21</f>
        <v>6464.3499999999995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6B709-0A97-4C3C-B3AE-4B2B7D61941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6" width="11.5703125" bestFit="1" customWidth="1"/>
    <col min="7" max="7" width="10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1459.92</v>
      </c>
      <c r="D5" s="16">
        <f>'Income Statement'!D17</f>
        <v>1482.25</v>
      </c>
      <c r="E5" s="16">
        <f>'Income Statement'!E17</f>
        <v>1429.52</v>
      </c>
      <c r="F5" s="16">
        <f>'Income Statement'!F17</f>
        <v>1530.1699999999998</v>
      </c>
      <c r="G5" s="16">
        <f>'Income Statement'!G17</f>
        <v>105.60999999999967</v>
      </c>
    </row>
    <row r="6" spans="2:7" ht="18.75" x14ac:dyDescent="0.25">
      <c r="B6" s="15" t="str">
        <f>'Income Statement'!B19</f>
        <v>PBIT</v>
      </c>
      <c r="C6" s="16">
        <f>'Income Statement'!C19</f>
        <v>1442.52</v>
      </c>
      <c r="D6" s="16">
        <f>'Income Statement'!D19</f>
        <v>1465.04</v>
      </c>
      <c r="E6" s="16">
        <f>'Income Statement'!E19</f>
        <v>1413.55</v>
      </c>
      <c r="F6" s="16">
        <f>'Income Statement'!F19</f>
        <v>1515.32</v>
      </c>
      <c r="G6" s="16">
        <f>'Income Statement'!G19</f>
        <v>91.559999999999675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45E035-414A-4342-914C-541598FB745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1960.58</v>
      </c>
      <c r="D5" s="16">
        <f>'Balance Sheet'!D39</f>
        <v>3047.5699999999997</v>
      </c>
      <c r="E5" s="16">
        <f>'Balance Sheet'!E39</f>
        <v>4342.7199999999993</v>
      </c>
      <c r="F5" s="16">
        <f>'Balance Sheet'!F39</f>
        <v>5827.4599999999991</v>
      </c>
      <c r="G5" s="16">
        <f>'Balance Sheet'!G39</f>
        <v>6215.44</v>
      </c>
    </row>
    <row r="6" spans="2:7" ht="18.75" x14ac:dyDescent="0.25">
      <c r="B6" s="15" t="str">
        <f>'Balance Sheet'!B19</f>
        <v>Total Current Liabilities</v>
      </c>
      <c r="C6" s="16">
        <f>'Balance Sheet'!C19</f>
        <v>441.51</v>
      </c>
      <c r="D6" s="16">
        <f>'Balance Sheet'!D19</f>
        <v>246.41</v>
      </c>
      <c r="E6" s="16">
        <f>'Balance Sheet'!E19</f>
        <v>158.06</v>
      </c>
      <c r="F6" s="16">
        <f>'Balance Sheet'!F19</f>
        <v>252.16000000000003</v>
      </c>
      <c r="G6" s="16">
        <f>'Balance Sheet'!G19</f>
        <v>396.96000000000004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0CD93E-D861-46BA-BCDA-2E55D5F5DC64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5" width="8.140625" bestFit="1" customWidth="1"/>
    <col min="6" max="7" width="8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8.3800000000000008</v>
      </c>
      <c r="D5" s="16">
        <f>'Balance Sheet'!D14</f>
        <v>8.92</v>
      </c>
      <c r="E5" s="16">
        <f>'Balance Sheet'!E14</f>
        <v>7.31</v>
      </c>
      <c r="F5" s="16">
        <f>'Balance Sheet'!F14</f>
        <v>12.71</v>
      </c>
      <c r="G5" s="16">
        <f>'Balance Sheet'!G14</f>
        <v>13.6</v>
      </c>
    </row>
    <row r="6" spans="2:7" ht="18.75" x14ac:dyDescent="0.25">
      <c r="B6" s="15" t="str">
        <f>'Balance Sheet'!B15</f>
        <v>Short Term Provisions</v>
      </c>
      <c r="C6" s="16">
        <f>'Balance Sheet'!C15</f>
        <v>0</v>
      </c>
      <c r="D6" s="16">
        <f>'Balance Sheet'!D15</f>
        <v>0</v>
      </c>
      <c r="E6" s="16">
        <f>'Balance Sheet'!E15</f>
        <v>0</v>
      </c>
      <c r="F6" s="16">
        <f>'Balance Sheet'!F15</f>
        <v>0</v>
      </c>
      <c r="G6" s="16">
        <f>'Balance Sheet'!G15</f>
        <v>0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F3D8C-B2A4-4DF0-B677-88675C3A689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5" width="11.5703125" bestFit="1" customWidth="1"/>
    <col min="6" max="6" width="10" bestFit="1" customWidth="1"/>
    <col min="7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2073.46</v>
      </c>
      <c r="D5" s="16">
        <f>'Income Statement'!D11</f>
        <v>1780.46</v>
      </c>
      <c r="E5" s="16">
        <f>'Income Statement'!E11</f>
        <v>1207.0999999999999</v>
      </c>
      <c r="F5" s="16">
        <f>'Income Statement'!F11</f>
        <v>741.5</v>
      </c>
      <c r="G5" s="16">
        <f>'Income Statement'!G11</f>
        <v>3844.36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243.01</v>
      </c>
      <c r="D6" s="16">
        <f>'Income Statement'!D12</f>
        <v>260.26</v>
      </c>
      <c r="E6" s="16">
        <f>'Income Statement'!E12</f>
        <v>292.81</v>
      </c>
      <c r="F6" s="16">
        <f>'Income Statement'!F12</f>
        <v>198.24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44188E-841A-4C9E-BF42-B3EE3E7281A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3905.03</v>
      </c>
      <c r="D5" s="16">
        <f>'Income Statement'!D5</f>
        <v>3642.19</v>
      </c>
      <c r="E5" s="16">
        <f>'Income Statement'!E5</f>
        <v>3052.94</v>
      </c>
      <c r="F5" s="16">
        <f>'Income Statement'!F5</f>
        <v>2544.39</v>
      </c>
      <c r="G5" s="16">
        <f>'Income Statement'!G5</f>
        <v>4422.6099999999997</v>
      </c>
    </row>
    <row r="6" spans="2:7" ht="18.75" x14ac:dyDescent="0.25">
      <c r="B6" s="15" t="str">
        <f>'Income Statement'!B10</f>
        <v>Total Income</v>
      </c>
      <c r="C6" s="16">
        <f>'Income Statement'!C10</f>
        <v>3913.26</v>
      </c>
      <c r="D6" s="16">
        <f>'Income Statement'!D10</f>
        <v>3646.7400000000002</v>
      </c>
      <c r="E6" s="16">
        <f>'Income Statement'!E10</f>
        <v>3049.04</v>
      </c>
      <c r="F6" s="16">
        <f>'Income Statement'!F10</f>
        <v>2562.2399999999998</v>
      </c>
      <c r="G6" s="16">
        <f>'Income Statement'!G10</f>
        <v>4430.3999999999996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990202-C5D7-4FFE-AB5B-193103878BDB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7" width="13.710937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4">
        <v>16.010000000000002</v>
      </c>
      <c r="D5" s="4">
        <v>16.010000000000002</v>
      </c>
      <c r="E5" s="4">
        <v>16.010000000000002</v>
      </c>
      <c r="F5" s="4">
        <v>16.010000000000002</v>
      </c>
      <c r="G5" s="4">
        <v>16.010000000000002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6">
        <f>C5+C6</f>
        <v>16.010000000000002</v>
      </c>
      <c r="D7" s="6">
        <f t="shared" ref="D7:G7" si="0">D5+D6</f>
        <v>16.010000000000002</v>
      </c>
      <c r="E7" s="6">
        <f t="shared" si="0"/>
        <v>16.010000000000002</v>
      </c>
      <c r="F7" s="6">
        <f t="shared" si="0"/>
        <v>16.010000000000002</v>
      </c>
      <c r="G7" s="6">
        <f t="shared" si="0"/>
        <v>16.010000000000002</v>
      </c>
    </row>
    <row r="8" spans="2:7" ht="18.75" x14ac:dyDescent="0.25">
      <c r="B8" s="8" t="s">
        <v>7</v>
      </c>
      <c r="C8" s="5">
        <v>967.81</v>
      </c>
      <c r="D8" s="5">
        <f>'Income Statement'!D30+C8</f>
        <v>2379.5199999999995</v>
      </c>
      <c r="E8" s="5">
        <f>'Income Statement'!E30+D8</f>
        <v>3756.4199999999992</v>
      </c>
      <c r="F8" s="5">
        <f>'Income Statement'!F30+E8</f>
        <v>5266.7999999999993</v>
      </c>
      <c r="G8" s="5">
        <f>'Income Statement'!G30+F8</f>
        <v>5328.6999999999989</v>
      </c>
    </row>
    <row r="9" spans="2:7" ht="18.75" x14ac:dyDescent="0.25">
      <c r="B9" s="9" t="s">
        <v>122</v>
      </c>
      <c r="C9" s="7">
        <f>C7+C8</f>
        <v>983.81999999999994</v>
      </c>
      <c r="D9" s="7">
        <f t="shared" ref="D9:G9" si="1">D7+D8</f>
        <v>2395.5299999999997</v>
      </c>
      <c r="E9" s="7">
        <f t="shared" si="1"/>
        <v>3772.4299999999994</v>
      </c>
      <c r="F9" s="7">
        <f t="shared" si="1"/>
        <v>5282.8099999999995</v>
      </c>
      <c r="G9" s="7">
        <f t="shared" si="1"/>
        <v>5344.7099999999991</v>
      </c>
    </row>
    <row r="10" spans="2:7" ht="18.75" x14ac:dyDescent="0.25">
      <c r="B10" s="8" t="s">
        <v>12</v>
      </c>
      <c r="C10" s="4">
        <v>22.61</v>
      </c>
      <c r="D10" s="4">
        <v>51.65</v>
      </c>
      <c r="E10" s="4">
        <v>50.84</v>
      </c>
      <c r="F10" s="4">
        <v>51.24</v>
      </c>
      <c r="G10" s="4">
        <v>49.89</v>
      </c>
    </row>
    <row r="11" spans="2:7" ht="18.75" x14ac:dyDescent="0.25">
      <c r="B11" s="8" t="s">
        <v>13</v>
      </c>
      <c r="C11" s="4">
        <v>47.19</v>
      </c>
      <c r="D11" s="4">
        <v>48.69</v>
      </c>
      <c r="E11" s="4">
        <v>49.5</v>
      </c>
      <c r="F11" s="4">
        <v>35.01</v>
      </c>
      <c r="G11" s="4">
        <v>31.49</v>
      </c>
    </row>
    <row r="12" spans="2:7" ht="18.75" x14ac:dyDescent="0.25">
      <c r="B12" s="8" t="s">
        <v>18</v>
      </c>
      <c r="C12" s="4">
        <v>821.76</v>
      </c>
      <c r="D12" s="4">
        <v>638.66999999999996</v>
      </c>
      <c r="E12" s="4">
        <v>612.5</v>
      </c>
      <c r="F12" s="4">
        <v>497.82</v>
      </c>
      <c r="G12" s="4">
        <v>641.29999999999995</v>
      </c>
    </row>
    <row r="13" spans="2:7" ht="18.75" x14ac:dyDescent="0.25">
      <c r="B13" s="9" t="s">
        <v>123</v>
      </c>
      <c r="C13" s="6">
        <f>C10+C11+C12</f>
        <v>891.56</v>
      </c>
      <c r="D13" s="6">
        <f t="shared" ref="D13:G13" si="2">D10+D11+D12</f>
        <v>739.01</v>
      </c>
      <c r="E13" s="6">
        <f t="shared" si="2"/>
        <v>712.84</v>
      </c>
      <c r="F13" s="6">
        <f t="shared" si="2"/>
        <v>584.06999999999994</v>
      </c>
      <c r="G13" s="6">
        <f t="shared" si="2"/>
        <v>722.68</v>
      </c>
    </row>
    <row r="14" spans="2:7" ht="18.75" x14ac:dyDescent="0.25">
      <c r="B14" s="8" t="s">
        <v>15</v>
      </c>
      <c r="C14" s="4">
        <v>8.3800000000000008</v>
      </c>
      <c r="D14" s="4">
        <v>8.92</v>
      </c>
      <c r="E14" s="4">
        <v>7.31</v>
      </c>
      <c r="F14" s="4">
        <v>12.71</v>
      </c>
      <c r="G14" s="4">
        <v>13.6</v>
      </c>
    </row>
    <row r="15" spans="2:7" ht="18.75" x14ac:dyDescent="0.25">
      <c r="B15" s="8" t="s">
        <v>21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</row>
    <row r="16" spans="2:7" ht="18.75" x14ac:dyDescent="0.25">
      <c r="B16" s="8" t="s">
        <v>14</v>
      </c>
      <c r="C16" s="4">
        <v>7.81</v>
      </c>
      <c r="D16" s="4">
        <v>5.61</v>
      </c>
      <c r="E16" s="4">
        <v>7.58</v>
      </c>
      <c r="F16" s="4">
        <v>5.09</v>
      </c>
      <c r="G16" s="4">
        <v>6.75</v>
      </c>
    </row>
    <row r="17" spans="2:7" ht="18.75" x14ac:dyDescent="0.25">
      <c r="B17" s="8" t="s">
        <v>19</v>
      </c>
      <c r="C17" s="4">
        <v>229.01</v>
      </c>
      <c r="D17" s="4">
        <v>201.28</v>
      </c>
      <c r="E17" s="4">
        <v>130.22</v>
      </c>
      <c r="F17" s="4">
        <v>219.08</v>
      </c>
      <c r="G17" s="4">
        <v>353.61</v>
      </c>
    </row>
    <row r="18" spans="2:7" ht="18.75" x14ac:dyDescent="0.25">
      <c r="B18" s="8" t="s">
        <v>20</v>
      </c>
      <c r="C18" s="4">
        <v>196.31</v>
      </c>
      <c r="D18" s="4">
        <v>30.6</v>
      </c>
      <c r="E18" s="4">
        <v>12.95</v>
      </c>
      <c r="F18" s="4">
        <v>15.28</v>
      </c>
      <c r="G18" s="4">
        <v>23</v>
      </c>
    </row>
    <row r="19" spans="2:7" ht="18.75" x14ac:dyDescent="0.25">
      <c r="B19" s="9" t="s">
        <v>22</v>
      </c>
      <c r="C19" s="6">
        <f>C14+C15+C16+C17+C18</f>
        <v>441.51</v>
      </c>
      <c r="D19" s="6">
        <f t="shared" ref="D19:G19" si="3">D14+D15+D16+D17+D18</f>
        <v>246.41</v>
      </c>
      <c r="E19" s="6">
        <f t="shared" si="3"/>
        <v>158.06</v>
      </c>
      <c r="F19" s="6">
        <f t="shared" si="3"/>
        <v>252.16000000000003</v>
      </c>
      <c r="G19" s="6">
        <f t="shared" si="3"/>
        <v>396.96000000000004</v>
      </c>
    </row>
    <row r="20" spans="2:7" ht="18.75" x14ac:dyDescent="0.25">
      <c r="B20" s="8" t="s">
        <v>10</v>
      </c>
      <c r="C20" s="4">
        <v>0</v>
      </c>
      <c r="D20" s="4">
        <v>0</v>
      </c>
      <c r="E20" s="4">
        <v>0</v>
      </c>
      <c r="F20" s="4">
        <v>-1.84</v>
      </c>
      <c r="G20" s="4">
        <v>0</v>
      </c>
    </row>
    <row r="21" spans="2:7" ht="18.75" x14ac:dyDescent="0.25">
      <c r="B21" s="9" t="s">
        <v>124</v>
      </c>
      <c r="C21" s="7">
        <f>C9+C13+C19+C20</f>
        <v>2316.89</v>
      </c>
      <c r="D21" s="7">
        <f t="shared" ref="D21:G21" si="4">D9+D13+D19+D20</f>
        <v>3380.95</v>
      </c>
      <c r="E21" s="7">
        <f t="shared" si="4"/>
        <v>4643.33</v>
      </c>
      <c r="F21" s="7">
        <f t="shared" si="4"/>
        <v>6117.1999999999989</v>
      </c>
      <c r="G21" s="7">
        <f t="shared" si="4"/>
        <v>6464.3499999999995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4">
        <v>291.19</v>
      </c>
      <c r="D23" s="4">
        <v>278.81</v>
      </c>
      <c r="E23" s="4">
        <v>267.35000000000002</v>
      </c>
      <c r="F23" s="4">
        <v>253.03</v>
      </c>
      <c r="G23" s="4">
        <v>227.88</v>
      </c>
    </row>
    <row r="24" spans="2:7" ht="18.75" x14ac:dyDescent="0.25">
      <c r="B24" s="8" t="s">
        <v>27</v>
      </c>
      <c r="C24" s="4">
        <v>0.22</v>
      </c>
      <c r="D24" s="4">
        <v>0</v>
      </c>
      <c r="E24" s="4">
        <v>0</v>
      </c>
      <c r="F24" s="4">
        <v>0</v>
      </c>
      <c r="G24" s="4">
        <v>0</v>
      </c>
    </row>
    <row r="25" spans="2:7" ht="18.75" x14ac:dyDescent="0.25">
      <c r="B25" s="8" t="s">
        <v>125</v>
      </c>
      <c r="C25" s="4"/>
      <c r="D25" s="4">
        <f>'Income Statement'!D18</f>
        <v>17.21</v>
      </c>
      <c r="E25" s="4">
        <f>'Income Statement'!E18+D25</f>
        <v>33.18</v>
      </c>
      <c r="F25" s="4">
        <f>'Income Statement'!F18+E25</f>
        <v>48.03</v>
      </c>
      <c r="G25" s="4">
        <f>'Income Statement'!G18+F25</f>
        <v>62.08</v>
      </c>
    </row>
    <row r="26" spans="2:7" ht="18.75" x14ac:dyDescent="0.25">
      <c r="B26" s="9" t="s">
        <v>126</v>
      </c>
      <c r="C26" s="6">
        <f>C23+C24-C25</f>
        <v>291.41000000000003</v>
      </c>
      <c r="D26" s="6">
        <f t="shared" ref="D26:G26" si="5">D23+D24-D25</f>
        <v>261.60000000000002</v>
      </c>
      <c r="E26" s="6">
        <f t="shared" si="5"/>
        <v>234.17000000000002</v>
      </c>
      <c r="F26" s="6">
        <f t="shared" si="5"/>
        <v>205</v>
      </c>
      <c r="G26" s="6">
        <f t="shared" si="5"/>
        <v>165.8</v>
      </c>
    </row>
    <row r="27" spans="2:7" ht="18.75" x14ac:dyDescent="0.25">
      <c r="B27" s="8" t="s">
        <v>30</v>
      </c>
      <c r="C27" s="4">
        <v>40.159999999999997</v>
      </c>
      <c r="D27" s="4">
        <v>45.74</v>
      </c>
      <c r="E27" s="4">
        <v>48.54</v>
      </c>
      <c r="F27" s="4">
        <v>50.74</v>
      </c>
      <c r="G27" s="4">
        <v>42.9</v>
      </c>
    </row>
    <row r="28" spans="2:7" ht="18.75" x14ac:dyDescent="0.25">
      <c r="B28" s="8" t="s">
        <v>36</v>
      </c>
      <c r="C28" s="4">
        <v>24.71</v>
      </c>
      <c r="D28" s="4">
        <v>26.04</v>
      </c>
      <c r="E28" s="4">
        <v>17.899999999999999</v>
      </c>
      <c r="F28" s="4">
        <v>34</v>
      </c>
      <c r="G28" s="4">
        <v>40.21</v>
      </c>
    </row>
    <row r="29" spans="2:7" ht="18.75" x14ac:dyDescent="0.25">
      <c r="B29" s="8" t="s">
        <v>28</v>
      </c>
      <c r="C29" s="4">
        <v>0.03</v>
      </c>
      <c r="D29" s="4">
        <v>0</v>
      </c>
      <c r="E29" s="4">
        <v>0</v>
      </c>
      <c r="F29" s="4">
        <v>0</v>
      </c>
      <c r="G29" s="4">
        <v>0</v>
      </c>
    </row>
    <row r="30" spans="2:7" ht="18.75" x14ac:dyDescent="0.25">
      <c r="B30" s="9" t="s">
        <v>127</v>
      </c>
      <c r="C30" s="6">
        <f>C26+C27+C28+C29</f>
        <v>356.31</v>
      </c>
      <c r="D30" s="6">
        <f t="shared" ref="D30:G30" si="6">D26+D27+D28+D29</f>
        <v>333.38000000000005</v>
      </c>
      <c r="E30" s="6">
        <f t="shared" si="6"/>
        <v>300.61</v>
      </c>
      <c r="F30" s="6">
        <f t="shared" si="6"/>
        <v>289.74</v>
      </c>
      <c r="G30" s="6">
        <f t="shared" si="6"/>
        <v>248.91000000000003</v>
      </c>
    </row>
    <row r="31" spans="2:7" ht="18.75" x14ac:dyDescent="0.25">
      <c r="B31" s="8" t="s">
        <v>31</v>
      </c>
      <c r="C31" s="4">
        <v>0</v>
      </c>
      <c r="D31" s="4">
        <v>0</v>
      </c>
      <c r="E31" s="4">
        <v>0</v>
      </c>
      <c r="F31" s="4">
        <v>0</v>
      </c>
      <c r="G31" s="4">
        <v>2.91</v>
      </c>
    </row>
    <row r="32" spans="2:7" ht="18.75" x14ac:dyDescent="0.25">
      <c r="B32" s="8" t="s">
        <v>32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</row>
    <row r="33" spans="2:7" ht="18.75" x14ac:dyDescent="0.25">
      <c r="B33" s="8" t="s">
        <v>33</v>
      </c>
      <c r="C33" s="4">
        <v>7.91</v>
      </c>
      <c r="D33" s="4">
        <v>9.99</v>
      </c>
      <c r="E33" s="4">
        <v>13.25</v>
      </c>
      <c r="F33" s="4">
        <v>3.05</v>
      </c>
      <c r="G33" s="4">
        <v>3.22</v>
      </c>
    </row>
    <row r="34" spans="2:7" ht="18.75" x14ac:dyDescent="0.25">
      <c r="B34" s="8" t="s">
        <v>40</v>
      </c>
      <c r="C34" s="4">
        <v>61.06</v>
      </c>
      <c r="D34" s="4">
        <v>54.47</v>
      </c>
      <c r="E34" s="4">
        <v>122.19</v>
      </c>
      <c r="F34" s="4">
        <v>81.709999999999994</v>
      </c>
      <c r="G34" s="4">
        <v>196.74</v>
      </c>
    </row>
    <row r="35" spans="2:7" ht="18.75" x14ac:dyDescent="0.25">
      <c r="B35" s="8" t="s">
        <v>41</v>
      </c>
      <c r="C35" s="4">
        <v>2.5099999999999998</v>
      </c>
      <c r="D35" s="4">
        <v>0.09</v>
      </c>
      <c r="E35" s="4">
        <v>2.65</v>
      </c>
      <c r="F35" s="4">
        <v>0</v>
      </c>
      <c r="G35" s="4">
        <v>1.1299999999999999</v>
      </c>
    </row>
    <row r="36" spans="2:7" ht="18.75" x14ac:dyDescent="0.25">
      <c r="B36" s="8" t="s">
        <v>37</v>
      </c>
      <c r="C36" s="4">
        <v>559.4</v>
      </c>
      <c r="D36" s="4">
        <v>566.15</v>
      </c>
      <c r="E36" s="4">
        <v>553.86</v>
      </c>
      <c r="F36" s="4">
        <v>485.27</v>
      </c>
      <c r="G36" s="4">
        <v>564.65</v>
      </c>
    </row>
    <row r="37" spans="2:7" ht="18.75" x14ac:dyDescent="0.25">
      <c r="B37" s="8" t="s">
        <v>38</v>
      </c>
      <c r="C37" s="5">
        <v>924.85</v>
      </c>
      <c r="D37" s="4">
        <v>765.39</v>
      </c>
      <c r="E37" s="4">
        <v>667.11</v>
      </c>
      <c r="F37" s="4">
        <v>806.45</v>
      </c>
      <c r="G37" s="4">
        <v>1048.01</v>
      </c>
    </row>
    <row r="38" spans="2:7" ht="18.75" x14ac:dyDescent="0.25">
      <c r="B38" s="8" t="s">
        <v>39</v>
      </c>
      <c r="C38" s="4">
        <v>404.85</v>
      </c>
      <c r="D38" s="5">
        <f>'CashFlow Statement'!D48+C38</f>
        <v>1651.4799999999996</v>
      </c>
      <c r="E38" s="5">
        <f>'CashFlow Statement'!E48+D38</f>
        <v>2983.6599999999994</v>
      </c>
      <c r="F38" s="5">
        <f>'CashFlow Statement'!F48+E38</f>
        <v>4450.9799999999996</v>
      </c>
      <c r="G38" s="5">
        <f>'CashFlow Statement'!G48+F38</f>
        <v>4398.78</v>
      </c>
    </row>
    <row r="39" spans="2:7" ht="18.75" x14ac:dyDescent="0.25">
      <c r="B39" s="9" t="s">
        <v>42</v>
      </c>
      <c r="C39" s="7">
        <f>C31+C32+C33+C34+C35+C36+C37+C38</f>
        <v>1960.58</v>
      </c>
      <c r="D39" s="7">
        <f t="shared" ref="D39:G39" si="7">D31+D32+D33+D34+D35+D36+D37+D38</f>
        <v>3047.5699999999997</v>
      </c>
      <c r="E39" s="7">
        <f t="shared" si="7"/>
        <v>4342.7199999999993</v>
      </c>
      <c r="F39" s="7">
        <f t="shared" si="7"/>
        <v>5827.4599999999991</v>
      </c>
      <c r="G39" s="7">
        <f t="shared" si="7"/>
        <v>6215.44</v>
      </c>
    </row>
    <row r="40" spans="2:7" ht="18.75" x14ac:dyDescent="0.25">
      <c r="B40" s="9" t="s">
        <v>43</v>
      </c>
      <c r="C40" s="7">
        <f>C30+C39</f>
        <v>2316.89</v>
      </c>
      <c r="D40" s="7">
        <f t="shared" ref="D40:G40" si="8">D30+D39</f>
        <v>3380.95</v>
      </c>
      <c r="E40" s="7">
        <f t="shared" si="8"/>
        <v>4643.329999999999</v>
      </c>
      <c r="F40" s="7">
        <f t="shared" si="8"/>
        <v>6117.1999999999989</v>
      </c>
      <c r="G40" s="7">
        <f t="shared" si="8"/>
        <v>6464.3499999999995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A30C3-07D7-45A6-A202-E2A5C6868FF0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2316.89</v>
      </c>
      <c r="D5" s="16">
        <f>'Balance Sheet'!D21</f>
        <v>3380.95</v>
      </c>
      <c r="E5" s="16">
        <f>'Balance Sheet'!E21</f>
        <v>4643.33</v>
      </c>
      <c r="F5" s="16">
        <f>'Balance Sheet'!F21</f>
        <v>6117.1999999999989</v>
      </c>
      <c r="G5" s="16">
        <f>'Balance Sheet'!G21</f>
        <v>6464.3499999999995</v>
      </c>
    </row>
    <row r="6" spans="2:7" ht="18.75" x14ac:dyDescent="0.25">
      <c r="B6" s="15" t="str">
        <f>'Balance Sheet'!B13</f>
        <v>Total Debt</v>
      </c>
      <c r="C6" s="16">
        <f>'Balance Sheet'!C13</f>
        <v>891.56</v>
      </c>
      <c r="D6" s="16">
        <f>'Balance Sheet'!D13</f>
        <v>739.01</v>
      </c>
      <c r="E6" s="16">
        <f>'Balance Sheet'!E13</f>
        <v>712.84</v>
      </c>
      <c r="F6" s="16">
        <f>'Balance Sheet'!F13</f>
        <v>584.06999999999994</v>
      </c>
      <c r="G6" s="16">
        <f>'Balance Sheet'!G13</f>
        <v>722.68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7DA9E-A9D6-40EA-BCCA-44AD5FC83FA3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2316.89</v>
      </c>
      <c r="D5" s="16">
        <f>'Balance Sheet'!D21</f>
        <v>3380.95</v>
      </c>
      <c r="E5" s="16">
        <f>'Balance Sheet'!E21</f>
        <v>4643.33</v>
      </c>
      <c r="F5" s="16">
        <f>'Balance Sheet'!F21</f>
        <v>6117.1999999999989</v>
      </c>
      <c r="G5" s="16">
        <f>'Balance Sheet'!G21</f>
        <v>6464.3499999999995</v>
      </c>
    </row>
    <row r="6" spans="2:7" ht="18.75" x14ac:dyDescent="0.25">
      <c r="B6" s="15" t="str">
        <f>'Balance Sheet'!B19</f>
        <v>Total Current Liabilities</v>
      </c>
      <c r="C6" s="16">
        <f>'Balance Sheet'!C19</f>
        <v>441.51</v>
      </c>
      <c r="D6" s="16">
        <f>'Balance Sheet'!D19</f>
        <v>246.41</v>
      </c>
      <c r="E6" s="16">
        <f>'Balance Sheet'!E19</f>
        <v>158.06</v>
      </c>
      <c r="F6" s="16">
        <f>'Balance Sheet'!F19</f>
        <v>252.16000000000003</v>
      </c>
      <c r="G6" s="16">
        <f>'Balance Sheet'!G19</f>
        <v>396.96000000000004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9B07E-4F01-40C5-8702-0BAFE224428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2316.89</v>
      </c>
      <c r="D5" s="16">
        <f>'Balance Sheet'!D40</f>
        <v>3380.95</v>
      </c>
      <c r="E5" s="16">
        <f>'Balance Sheet'!E40</f>
        <v>4643.329999999999</v>
      </c>
      <c r="F5" s="16">
        <f>'Balance Sheet'!F40</f>
        <v>6117.1999999999989</v>
      </c>
      <c r="G5" s="16">
        <f>'Balance Sheet'!G40</f>
        <v>6464.3499999999995</v>
      </c>
    </row>
    <row r="6" spans="2:7" ht="18.75" x14ac:dyDescent="0.25">
      <c r="B6" s="15" t="str">
        <f>'Balance Sheet'!B30</f>
        <v>Total Non Current Assets</v>
      </c>
      <c r="C6" s="16">
        <f>'Balance Sheet'!C30</f>
        <v>356.31</v>
      </c>
      <c r="D6" s="16">
        <f>'Balance Sheet'!D30</f>
        <v>333.38000000000005</v>
      </c>
      <c r="E6" s="16">
        <f>'Balance Sheet'!E30</f>
        <v>300.61</v>
      </c>
      <c r="F6" s="16">
        <f>'Balance Sheet'!F30</f>
        <v>289.74</v>
      </c>
      <c r="G6" s="16">
        <f>'Balance Sheet'!G30</f>
        <v>248.91000000000003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9EBE1-91EA-4D27-99E1-6CDC0216ABD0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2316.89</v>
      </c>
      <c r="D5" s="16">
        <f>'Balance Sheet'!D40</f>
        <v>3380.95</v>
      </c>
      <c r="E5" s="16">
        <f>'Balance Sheet'!E40</f>
        <v>4643.329999999999</v>
      </c>
      <c r="F5" s="16">
        <f>'Balance Sheet'!F40</f>
        <v>6117.1999999999989</v>
      </c>
      <c r="G5" s="16">
        <f>'Balance Sheet'!G40</f>
        <v>6464.3499999999995</v>
      </c>
    </row>
    <row r="6" spans="2:7" ht="18.75" x14ac:dyDescent="0.25">
      <c r="B6" s="15" t="str">
        <f>'Balance Sheet'!B39</f>
        <v>Total Current Assets</v>
      </c>
      <c r="C6" s="16">
        <f>'Balance Sheet'!C39</f>
        <v>1960.58</v>
      </c>
      <c r="D6" s="16">
        <f>'Balance Sheet'!D39</f>
        <v>3047.5699999999997</v>
      </c>
      <c r="E6" s="16">
        <f>'Balance Sheet'!E39</f>
        <v>4342.7199999999993</v>
      </c>
      <c r="F6" s="16">
        <f>'Balance Sheet'!F39</f>
        <v>5827.4599999999991</v>
      </c>
      <c r="G6" s="16">
        <f>'Balance Sheet'!G39</f>
        <v>6215.44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A5C14-DFE8-4A3F-93CD-8D39B2B84EA4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2453.34</v>
      </c>
      <c r="D5" s="16">
        <f>'Income Statement'!D15</f>
        <v>2164.4900000000002</v>
      </c>
      <c r="E5" s="16">
        <f>'Income Statement'!E15</f>
        <v>1619.52</v>
      </c>
      <c r="F5" s="16">
        <f>'Income Statement'!F15</f>
        <v>1032.07</v>
      </c>
      <c r="G5" s="16">
        <f>'Income Statement'!G15</f>
        <v>4324.79</v>
      </c>
    </row>
    <row r="6" spans="2:7" ht="18.75" x14ac:dyDescent="0.25">
      <c r="B6" s="15" t="str">
        <f>'Income Statement'!B10</f>
        <v>Total Income</v>
      </c>
      <c r="C6" s="16">
        <f>'Income Statement'!C10</f>
        <v>3913.26</v>
      </c>
      <c r="D6" s="16">
        <f>'Income Statement'!D10</f>
        <v>3646.7400000000002</v>
      </c>
      <c r="E6" s="16">
        <f>'Income Statement'!E10</f>
        <v>3049.04</v>
      </c>
      <c r="F6" s="16">
        <f>'Income Statement'!F10</f>
        <v>2562.2399999999998</v>
      </c>
      <c r="G6" s="16">
        <f>'Income Statement'!G10</f>
        <v>4430.3999999999996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DCC5D-792C-4968-BBF5-D10818E3049E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6" width="11.5703125" bestFit="1" customWidth="1"/>
    <col min="7" max="7" width="8.42578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1387.07</v>
      </c>
      <c r="D5" s="16">
        <f>'Income Statement'!D30</f>
        <v>1411.7099999999998</v>
      </c>
      <c r="E5" s="16">
        <f>'Income Statement'!E30</f>
        <v>1376.8999999999996</v>
      </c>
      <c r="F5" s="16">
        <f>'Income Statement'!F30</f>
        <v>1510.3799999999999</v>
      </c>
      <c r="G5" s="16">
        <f>'Income Statement'!G30</f>
        <v>61.899999999999679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1389.47</v>
      </c>
      <c r="D6" s="16">
        <f>'Income Statement'!D27</f>
        <v>1414.11</v>
      </c>
      <c r="E6" s="16">
        <f>'Income Statement'!E27</f>
        <v>1379.2999999999997</v>
      </c>
      <c r="F6" s="16">
        <f>'Income Statement'!F27</f>
        <v>1512.78</v>
      </c>
      <c r="G6" s="16">
        <f>'Income Statement'!G27</f>
        <v>61.899999999999679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78CCA-51B2-42A7-A57A-DFE32D6CE6CF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6" width="13.7109375" bestFit="1" customWidth="1"/>
    <col min="7" max="7" width="12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1435.1799999999998</v>
      </c>
      <c r="E5" s="5">
        <f>'Income Statement'!E25</f>
        <v>1393.7499999999998</v>
      </c>
      <c r="F5" s="5">
        <f>'Income Statement'!F25</f>
        <v>1508.1</v>
      </c>
      <c r="G5" s="5">
        <f>'Income Statement'!G25</f>
        <v>80.989999999999682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4">
        <f>'Income Statement'!D18</f>
        <v>17.21</v>
      </c>
      <c r="E7" s="4">
        <f>'Income Statement'!E18</f>
        <v>15.97</v>
      </c>
      <c r="F7" s="4">
        <f>'Income Statement'!F18</f>
        <v>14.85</v>
      </c>
      <c r="G7" s="4">
        <f>'Income Statement'!G18</f>
        <v>14.05</v>
      </c>
    </row>
    <row r="8" spans="2:7" ht="18.75" x14ac:dyDescent="0.25">
      <c r="B8" s="8" t="s">
        <v>131</v>
      </c>
      <c r="C8" s="4"/>
      <c r="D8" s="4">
        <f>'Income Statement'!D20</f>
        <v>26.39</v>
      </c>
      <c r="E8" s="4">
        <f>'Income Statement'!E20</f>
        <v>19.66</v>
      </c>
      <c r="F8" s="4">
        <f>'Income Statement'!F20</f>
        <v>3.57</v>
      </c>
      <c r="G8" s="4">
        <f>'Income Statement'!G20</f>
        <v>5.27</v>
      </c>
    </row>
    <row r="9" spans="2:7" ht="18.75" x14ac:dyDescent="0.25">
      <c r="B9" s="8" t="s">
        <v>59</v>
      </c>
      <c r="C9" s="4"/>
      <c r="D9" s="4">
        <f>'Income Statement'!D8</f>
        <v>4.55</v>
      </c>
      <c r="E9" s="4">
        <f>'Income Statement'!E8</f>
        <v>-3.9</v>
      </c>
      <c r="F9" s="4">
        <f>'Income Statement'!F8</f>
        <v>17.850000000000001</v>
      </c>
      <c r="G9" s="4">
        <f>'Income Statement'!G8</f>
        <v>7.79</v>
      </c>
    </row>
    <row r="10" spans="2:7" ht="18.75" x14ac:dyDescent="0.25">
      <c r="B10" s="9" t="s">
        <v>132</v>
      </c>
      <c r="C10" s="6"/>
      <c r="D10" s="6">
        <f>D7+D8-D9</f>
        <v>39.050000000000004</v>
      </c>
      <c r="E10" s="6">
        <f t="shared" ref="E10:G10" si="0">E7+E8-E9</f>
        <v>39.53</v>
      </c>
      <c r="F10" s="6">
        <f t="shared" si="0"/>
        <v>0.56999999999999673</v>
      </c>
      <c r="G10" s="6">
        <f t="shared" si="0"/>
        <v>11.530000000000001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4">
        <f>'Balance Sheet'!C31-'Balance Sheet'!D31</f>
        <v>0</v>
      </c>
      <c r="E12" s="4">
        <f>'Balance Sheet'!D31-'Balance Sheet'!E31</f>
        <v>0</v>
      </c>
      <c r="F12" s="4">
        <f>'Balance Sheet'!E31-'Balance Sheet'!F31</f>
        <v>0</v>
      </c>
      <c r="G12" s="4">
        <f>'Balance Sheet'!F31-'Balance Sheet'!G31</f>
        <v>-2.91</v>
      </c>
    </row>
    <row r="13" spans="2:7" ht="18.75" x14ac:dyDescent="0.25">
      <c r="B13" s="8" t="str">
        <f>'Balance Sheet'!B32</f>
        <v>Long Term Loans And Advances</v>
      </c>
      <c r="C13" s="4"/>
      <c r="D13" s="4">
        <f>'Balance Sheet'!C32-'Balance Sheet'!D32</f>
        <v>0</v>
      </c>
      <c r="E13" s="4">
        <f>'Balance Sheet'!D32-'Balance Sheet'!E32</f>
        <v>0</v>
      </c>
      <c r="F13" s="4">
        <f>'Balance Sheet'!E32-'Balance Sheet'!F32</f>
        <v>0</v>
      </c>
      <c r="G13" s="4">
        <f>'Balance Sheet'!F32-'Balance Sheet'!G32</f>
        <v>0</v>
      </c>
    </row>
    <row r="14" spans="2:7" ht="18.75" x14ac:dyDescent="0.25">
      <c r="B14" s="8" t="str">
        <f>'Balance Sheet'!B33</f>
        <v>Other Non-Current Assets</v>
      </c>
      <c r="C14" s="4"/>
      <c r="D14" s="4">
        <f>'Balance Sheet'!C33-'Balance Sheet'!D33</f>
        <v>-2.08</v>
      </c>
      <c r="E14" s="4">
        <f>'Balance Sheet'!D33-'Balance Sheet'!E33</f>
        <v>-3.26</v>
      </c>
      <c r="F14" s="4">
        <f>'Balance Sheet'!E33-'Balance Sheet'!F33</f>
        <v>10.199999999999999</v>
      </c>
      <c r="G14" s="4">
        <f>'Balance Sheet'!F33-'Balance Sheet'!G33</f>
        <v>-0.17000000000000037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6.5900000000000034</v>
      </c>
      <c r="E15" s="4">
        <f>'Balance Sheet'!D34-'Balance Sheet'!E34</f>
        <v>-67.72</v>
      </c>
      <c r="F15" s="4">
        <f>'Balance Sheet'!E34-'Balance Sheet'!F34</f>
        <v>40.480000000000004</v>
      </c>
      <c r="G15" s="4">
        <f>'Balance Sheet'!F34-'Balance Sheet'!G34</f>
        <v>-115.03000000000002</v>
      </c>
    </row>
    <row r="16" spans="2:7" ht="18.75" x14ac:dyDescent="0.25">
      <c r="B16" s="8" t="str">
        <f>'Balance Sheet'!B35</f>
        <v>OtherCurrentAssets</v>
      </c>
      <c r="C16" s="4"/>
      <c r="D16" s="4">
        <f>'Balance Sheet'!C35-'Balance Sheet'!D35</f>
        <v>2.42</v>
      </c>
      <c r="E16" s="4">
        <f>'Balance Sheet'!D35-'Balance Sheet'!E35</f>
        <v>-2.56</v>
      </c>
      <c r="F16" s="4">
        <f>'Balance Sheet'!E35-'Balance Sheet'!F35</f>
        <v>2.65</v>
      </c>
      <c r="G16" s="4">
        <f>'Balance Sheet'!F35-'Balance Sheet'!G35</f>
        <v>-1.1299999999999999</v>
      </c>
    </row>
    <row r="17" spans="2:7" ht="18.75" x14ac:dyDescent="0.25">
      <c r="B17" s="8" t="str">
        <f>'Balance Sheet'!B36</f>
        <v>Inventories</v>
      </c>
      <c r="C17" s="4"/>
      <c r="D17" s="4">
        <f>'Balance Sheet'!C36-'Balance Sheet'!D36</f>
        <v>-6.75</v>
      </c>
      <c r="E17" s="4">
        <f>'Balance Sheet'!D36-'Balance Sheet'!E36</f>
        <v>12.289999999999964</v>
      </c>
      <c r="F17" s="4">
        <f>'Balance Sheet'!E36-'Balance Sheet'!F36</f>
        <v>68.590000000000032</v>
      </c>
      <c r="G17" s="4">
        <f>'Balance Sheet'!F36-'Balance Sheet'!G36</f>
        <v>-79.38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159.46000000000004</v>
      </c>
      <c r="E18" s="5">
        <f>'Balance Sheet'!D37-'Balance Sheet'!E37</f>
        <v>98.279999999999973</v>
      </c>
      <c r="F18" s="5">
        <f>'Balance Sheet'!E37-'Balance Sheet'!F37</f>
        <v>-139.34000000000003</v>
      </c>
      <c r="G18" s="5">
        <f>'Balance Sheet'!F37-'Balance Sheet'!G37</f>
        <v>-241.55999999999995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4">
        <f>'Balance Sheet'!D14-'Balance Sheet'!C14</f>
        <v>0.53999999999999915</v>
      </c>
      <c r="E20" s="4">
        <f>'Balance Sheet'!E14-'Balance Sheet'!D14</f>
        <v>-1.6100000000000003</v>
      </c>
      <c r="F20" s="4">
        <f>'Balance Sheet'!F14-'Balance Sheet'!E14</f>
        <v>5.4000000000000012</v>
      </c>
      <c r="G20" s="4">
        <f>'Balance Sheet'!G14-'Balance Sheet'!F14</f>
        <v>0.88999999999999879</v>
      </c>
    </row>
    <row r="21" spans="2:7" ht="18.75" x14ac:dyDescent="0.25">
      <c r="B21" s="8" t="str">
        <f>'Balance Sheet'!B15</f>
        <v>Short Term Provisions</v>
      </c>
      <c r="C21" s="4"/>
      <c r="D21" s="4">
        <f>'Balance Sheet'!D15-'Balance Sheet'!C15</f>
        <v>0</v>
      </c>
      <c r="E21" s="4">
        <f>'Balance Sheet'!E15-'Balance Sheet'!D15</f>
        <v>0</v>
      </c>
      <c r="F21" s="4">
        <f>'Balance Sheet'!F15-'Balance Sheet'!E15</f>
        <v>0</v>
      </c>
      <c r="G21" s="4">
        <f>'Balance Sheet'!G15-'Balance Sheet'!F15</f>
        <v>0</v>
      </c>
    </row>
    <row r="22" spans="2:7" ht="18.75" x14ac:dyDescent="0.25">
      <c r="B22" s="8" t="str">
        <f>'Balance Sheet'!B16</f>
        <v>Other Long Term Liabilities</v>
      </c>
      <c r="C22" s="4"/>
      <c r="D22" s="4">
        <f>'Balance Sheet'!D16-'Balance Sheet'!C16</f>
        <v>-2.1999999999999993</v>
      </c>
      <c r="E22" s="4">
        <f>'Balance Sheet'!E16-'Balance Sheet'!D16</f>
        <v>1.9699999999999998</v>
      </c>
      <c r="F22" s="4">
        <f>'Balance Sheet'!F16-'Balance Sheet'!E16</f>
        <v>-2.4900000000000002</v>
      </c>
      <c r="G22" s="4">
        <f>'Balance Sheet'!G16-'Balance Sheet'!F16</f>
        <v>1.6600000000000001</v>
      </c>
    </row>
    <row r="23" spans="2:7" ht="18.75" x14ac:dyDescent="0.25">
      <c r="B23" s="8" t="str">
        <f>'Balance Sheet'!B17</f>
        <v>Trade Payables</v>
      </c>
      <c r="C23" s="4"/>
      <c r="D23" s="4">
        <f>'Balance Sheet'!D17-'Balance Sheet'!C17</f>
        <v>-27.72999999999999</v>
      </c>
      <c r="E23" s="4">
        <f>'Balance Sheet'!E17-'Balance Sheet'!D17</f>
        <v>-71.06</v>
      </c>
      <c r="F23" s="4">
        <f>'Balance Sheet'!F17-'Balance Sheet'!E17</f>
        <v>88.860000000000014</v>
      </c>
      <c r="G23" s="4">
        <f>'Balance Sheet'!G17-'Balance Sheet'!F17</f>
        <v>134.53</v>
      </c>
    </row>
    <row r="24" spans="2:7" ht="18.75" x14ac:dyDescent="0.25">
      <c r="B24" s="8" t="str">
        <f>'Balance Sheet'!B18</f>
        <v>Other Current Liabilities</v>
      </c>
      <c r="C24" s="4"/>
      <c r="D24" s="4">
        <f>'Balance Sheet'!D18-'Balance Sheet'!C18</f>
        <v>-165.71</v>
      </c>
      <c r="E24" s="4">
        <f>'Balance Sheet'!E18-'Balance Sheet'!D18</f>
        <v>-17.650000000000002</v>
      </c>
      <c r="F24" s="4">
        <f>'Balance Sheet'!F18-'Balance Sheet'!E18</f>
        <v>2.33</v>
      </c>
      <c r="G24" s="4">
        <f>'Balance Sheet'!G18-'Balance Sheet'!F18</f>
        <v>7.7200000000000006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4">
        <f>'Income Statement'!D26</f>
        <v>21.07</v>
      </c>
      <c r="E26" s="4">
        <f>'Income Statement'!E26</f>
        <v>14.45</v>
      </c>
      <c r="F26" s="4">
        <f>'Income Statement'!F26</f>
        <v>-4.68</v>
      </c>
      <c r="G26" s="4">
        <f>'Income Statement'!G26</f>
        <v>19.09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1417.6999999999998</v>
      </c>
      <c r="E27" s="7">
        <f t="shared" ref="E27:G27" si="1">E12+E13+E14+E15+E16+E17+E18+E20+E21+E22+E23+E24-E26+E10+E5</f>
        <v>1367.5099999999998</v>
      </c>
      <c r="F27" s="7">
        <f t="shared" si="1"/>
        <v>1590.03</v>
      </c>
      <c r="G27" s="7">
        <f t="shared" si="1"/>
        <v>-221.95000000000016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4">
        <f>'Balance Sheet'!C23-'Balance Sheet'!D23</f>
        <v>12.379999999999995</v>
      </c>
      <c r="E29" s="4">
        <f>'Balance Sheet'!D23-'Balance Sheet'!E23</f>
        <v>11.45999999999998</v>
      </c>
      <c r="F29" s="4">
        <f>'Balance Sheet'!E23-'Balance Sheet'!F23</f>
        <v>14.320000000000022</v>
      </c>
      <c r="G29" s="4">
        <f>'Balance Sheet'!F23-'Balance Sheet'!G23</f>
        <v>25.150000000000006</v>
      </c>
    </row>
    <row r="30" spans="2:7" ht="18.75" x14ac:dyDescent="0.25">
      <c r="B30" s="8" t="str">
        <f>'Balance Sheet'!B24</f>
        <v>Intangible Assets</v>
      </c>
      <c r="C30" s="4"/>
      <c r="D30" s="4">
        <f>'Balance Sheet'!C24-'Balance Sheet'!D24</f>
        <v>0.22</v>
      </c>
      <c r="E30" s="4">
        <f>'Balance Sheet'!D24-'Balance Sheet'!E24</f>
        <v>0</v>
      </c>
      <c r="F30" s="4">
        <f>'Balance Sheet'!E24-'Balance Sheet'!F24</f>
        <v>0</v>
      </c>
      <c r="G30" s="4">
        <f>'Balance Sheet'!F24-'Balance Sheet'!G24</f>
        <v>0</v>
      </c>
    </row>
    <row r="31" spans="2:7" ht="18.75" x14ac:dyDescent="0.25">
      <c r="B31" s="8" t="str">
        <f>'Balance Sheet'!B27</f>
        <v>Non-Current Investments</v>
      </c>
      <c r="C31" s="4"/>
      <c r="D31" s="4">
        <f>'Balance Sheet'!C27-'Balance Sheet'!D27</f>
        <v>-5.5800000000000054</v>
      </c>
      <c r="E31" s="4">
        <f>'Balance Sheet'!D27-'Balance Sheet'!E27</f>
        <v>-2.7999999999999972</v>
      </c>
      <c r="F31" s="4">
        <f>'Balance Sheet'!E27-'Balance Sheet'!F27</f>
        <v>-2.2000000000000028</v>
      </c>
      <c r="G31" s="4">
        <f>'Balance Sheet'!F27-'Balance Sheet'!G27</f>
        <v>7.8400000000000034</v>
      </c>
    </row>
    <row r="32" spans="2:7" ht="18.75" x14ac:dyDescent="0.25">
      <c r="B32" s="8" t="str">
        <f>'Balance Sheet'!B28</f>
        <v>Current Investments</v>
      </c>
      <c r="C32" s="4"/>
      <c r="D32" s="4">
        <f>'Balance Sheet'!C28-'Balance Sheet'!D28</f>
        <v>-1.3299999999999983</v>
      </c>
      <c r="E32" s="4">
        <f>'Balance Sheet'!D28-'Balance Sheet'!E28</f>
        <v>8.14</v>
      </c>
      <c r="F32" s="4">
        <f>'Balance Sheet'!E28-'Balance Sheet'!F28</f>
        <v>-16.100000000000001</v>
      </c>
      <c r="G32" s="4">
        <f>'Balance Sheet'!F28-'Balance Sheet'!G28</f>
        <v>-6.2100000000000009</v>
      </c>
    </row>
    <row r="33" spans="2:7" ht="18.75" x14ac:dyDescent="0.25">
      <c r="B33" s="8" t="str">
        <f>'Balance Sheet'!B29</f>
        <v>Capital Work-In-Progress</v>
      </c>
      <c r="C33" s="4"/>
      <c r="D33" s="4">
        <f>'Balance Sheet'!C29-'Balance Sheet'!D29</f>
        <v>0.03</v>
      </c>
      <c r="E33" s="4">
        <f>'Balance Sheet'!D29-'Balance Sheet'!E29</f>
        <v>0</v>
      </c>
      <c r="F33" s="4">
        <f>'Balance Sheet'!E29-'Balance Sheet'!F29</f>
        <v>0</v>
      </c>
      <c r="G33" s="4">
        <f>'Balance Sheet'!F29-'Balance Sheet'!G29</f>
        <v>0</v>
      </c>
    </row>
    <row r="34" spans="2:7" ht="18.75" x14ac:dyDescent="0.25">
      <c r="B34" s="8" t="s">
        <v>59</v>
      </c>
      <c r="C34" s="4"/>
      <c r="D34" s="4">
        <f>'Income Statement'!D8</f>
        <v>4.55</v>
      </c>
      <c r="E34" s="4">
        <f>'Income Statement'!E8</f>
        <v>-3.9</v>
      </c>
      <c r="F34" s="4">
        <f>'Income Statement'!F8</f>
        <v>17.850000000000001</v>
      </c>
      <c r="G34" s="4">
        <f>'Income Statement'!G8</f>
        <v>7.79</v>
      </c>
    </row>
    <row r="35" spans="2:7" ht="18.75" x14ac:dyDescent="0.25">
      <c r="B35" s="9" t="s">
        <v>137</v>
      </c>
      <c r="C35" s="6"/>
      <c r="D35" s="6">
        <f>D29+D30+D31+D32+D33+D34</f>
        <v>10.269999999999992</v>
      </c>
      <c r="E35" s="6">
        <f t="shared" ref="E35:G35" si="2">E29+E30+E31+E32+E33+E34</f>
        <v>12.899999999999983</v>
      </c>
      <c r="F35" s="6">
        <f t="shared" si="2"/>
        <v>13.870000000000019</v>
      </c>
      <c r="G35" s="6">
        <f t="shared" si="2"/>
        <v>34.570000000000007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4">
        <f>'Balance Sheet'!D5-'Balance Sheet'!C5</f>
        <v>0</v>
      </c>
      <c r="E37" s="4">
        <f>'Balance Sheet'!E5-'Balance Sheet'!D5</f>
        <v>0</v>
      </c>
      <c r="F37" s="4">
        <f>'Balance Sheet'!F5-'Balance Sheet'!E5</f>
        <v>0</v>
      </c>
      <c r="G37" s="4">
        <f>'Balance Sheet'!G5-'Balance Sheet'!F5</f>
        <v>0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4">
        <f>'Balance Sheet'!D10-'Balance Sheet'!C10</f>
        <v>29.04</v>
      </c>
      <c r="E39" s="4">
        <f>'Balance Sheet'!E10-'Balance Sheet'!D10</f>
        <v>-0.80999999999999517</v>
      </c>
      <c r="F39" s="4">
        <f>'Balance Sheet'!F10-'Balance Sheet'!E10</f>
        <v>0.39999999999999858</v>
      </c>
      <c r="G39" s="4">
        <f>'Balance Sheet'!G10-'Balance Sheet'!F10</f>
        <v>-1.3500000000000014</v>
      </c>
    </row>
    <row r="40" spans="2:7" ht="18.75" x14ac:dyDescent="0.25">
      <c r="B40" s="8" t="str">
        <f>'Balance Sheet'!B11</f>
        <v>Deferred Tax Liabilities [Net]</v>
      </c>
      <c r="C40" s="4"/>
      <c r="D40" s="4">
        <f>'Balance Sheet'!D11-'Balance Sheet'!C11</f>
        <v>1.5</v>
      </c>
      <c r="E40" s="4">
        <f>'Balance Sheet'!E11-'Balance Sheet'!D11</f>
        <v>0.81000000000000227</v>
      </c>
      <c r="F40" s="4">
        <f>'Balance Sheet'!F11-'Balance Sheet'!E11</f>
        <v>-14.490000000000002</v>
      </c>
      <c r="G40" s="4">
        <f>'Balance Sheet'!G11-'Balance Sheet'!F11</f>
        <v>-3.5199999999999996</v>
      </c>
    </row>
    <row r="41" spans="2:7" ht="18.75" x14ac:dyDescent="0.25">
      <c r="B41" s="8" t="str">
        <f>'Balance Sheet'!B12</f>
        <v>Short Term Borrowings</v>
      </c>
      <c r="C41" s="4"/>
      <c r="D41" s="4">
        <f>'Balance Sheet'!D12-'Balance Sheet'!C12</f>
        <v>-183.09000000000003</v>
      </c>
      <c r="E41" s="4">
        <f>'Balance Sheet'!E12-'Balance Sheet'!D12</f>
        <v>-26.169999999999959</v>
      </c>
      <c r="F41" s="4">
        <f>'Balance Sheet'!F12-'Balance Sheet'!E12</f>
        <v>-114.68</v>
      </c>
      <c r="G41" s="4">
        <f>'Balance Sheet'!G12-'Balance Sheet'!F12</f>
        <v>143.47999999999996</v>
      </c>
    </row>
    <row r="42" spans="2:7" ht="18.75" x14ac:dyDescent="0.25">
      <c r="B42" s="8" t="str">
        <f>'Balance Sheet'!B20:G20</f>
        <v>Minority Interest</v>
      </c>
      <c r="C42" s="4"/>
      <c r="D42" s="4">
        <f>'Balance Sheet'!D20-'Balance Sheet'!C20</f>
        <v>0</v>
      </c>
      <c r="E42" s="4">
        <f>'Balance Sheet'!E20-'Balance Sheet'!D20</f>
        <v>0</v>
      </c>
      <c r="F42" s="4">
        <f>'Balance Sheet'!F20-'Balance Sheet'!E20</f>
        <v>-1.84</v>
      </c>
      <c r="G42" s="4">
        <f>'Balance Sheet'!G20-'Balance Sheet'!F20</f>
        <v>1.84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4">
        <f>'Income Statement'!D28</f>
        <v>2.4</v>
      </c>
      <c r="E44" s="4">
        <f>'Income Statement'!E28</f>
        <v>2.4</v>
      </c>
      <c r="F44" s="4">
        <f>'Income Statement'!F28</f>
        <v>2.4</v>
      </c>
      <c r="G44" s="4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0</v>
      </c>
      <c r="E45" s="4">
        <f>'Income Statement'!E29</f>
        <v>0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4">
        <f>'Income Statement'!D20</f>
        <v>26.39</v>
      </c>
      <c r="E46" s="4">
        <f>'Income Statement'!E20</f>
        <v>19.66</v>
      </c>
      <c r="F46" s="4">
        <f>'Income Statement'!F20</f>
        <v>3.57</v>
      </c>
      <c r="G46" s="4">
        <f>'Income Statement'!G20</f>
        <v>5.27</v>
      </c>
    </row>
    <row r="47" spans="2:7" ht="18.75" x14ac:dyDescent="0.25">
      <c r="B47" s="9" t="s">
        <v>141</v>
      </c>
      <c r="C47" s="6"/>
      <c r="D47" s="6">
        <f>D37+D38+D39+D40+D41+D42-D44-D45-D46</f>
        <v>-181.34000000000003</v>
      </c>
      <c r="E47" s="6">
        <f t="shared" ref="E47:G47" si="3">E37+E38+E39+E40+E41+E42-E44-E45-E46</f>
        <v>-48.229999999999947</v>
      </c>
      <c r="F47" s="6">
        <f t="shared" si="3"/>
        <v>-136.58000000000001</v>
      </c>
      <c r="G47" s="6">
        <f t="shared" si="3"/>
        <v>135.17999999999995</v>
      </c>
    </row>
    <row r="48" spans="2:7" ht="18.75" x14ac:dyDescent="0.25">
      <c r="B48" s="9" t="s">
        <v>142</v>
      </c>
      <c r="C48" s="6"/>
      <c r="D48" s="7">
        <f>D27+D35+D47</f>
        <v>1246.6299999999997</v>
      </c>
      <c r="E48" s="7">
        <f t="shared" ref="E48:G48" si="4">E27+E35+E47</f>
        <v>1332.1799999999998</v>
      </c>
      <c r="F48" s="7">
        <f t="shared" si="4"/>
        <v>1467.3200000000002</v>
      </c>
      <c r="G48" s="7">
        <f t="shared" si="4"/>
        <v>-52.200000000000216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4F5EF-F2E0-4B81-9E80-8BC2F02CA594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3" width="11.5703125" bestFit="1" customWidth="1"/>
    <col min="4" max="5" width="12.28515625" bestFit="1" customWidth="1"/>
    <col min="6" max="7" width="12.4257812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1389.47</v>
      </c>
      <c r="D6" s="16">
        <f>'Income Statement'!D27</f>
        <v>1414.11</v>
      </c>
      <c r="E6" s="16">
        <f>'Income Statement'!E27</f>
        <v>1379.2999999999997</v>
      </c>
      <c r="F6" s="16">
        <f>'Income Statement'!F27</f>
        <v>1512.78</v>
      </c>
      <c r="G6" s="16">
        <f>'Income Statement'!G27</f>
        <v>61.899999999999679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20.433382352941177</v>
      </c>
      <c r="D7" s="16">
        <f>'Income Statement'!D35</f>
        <v>19.640416666666667</v>
      </c>
      <c r="E7" s="16">
        <f>'Income Statement'!E35</f>
        <v>34.482499999999995</v>
      </c>
      <c r="F7" s="16">
        <f>'Income Statement'!F35</f>
        <v>37.819499999999998</v>
      </c>
      <c r="G7" s="16">
        <f>'Income Statement'!G35</f>
        <v>1.0491525423728758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68</v>
      </c>
      <c r="D8" s="17">
        <f t="shared" ref="D8:G8" si="0">ROUND(D6/D7, 2)</f>
        <v>72</v>
      </c>
      <c r="E8" s="17">
        <f t="shared" si="0"/>
        <v>40</v>
      </c>
      <c r="F8" s="17">
        <f t="shared" si="0"/>
        <v>40</v>
      </c>
      <c r="G8" s="17">
        <f t="shared" si="0"/>
        <v>59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2.4</v>
      </c>
      <c r="D11" s="16">
        <f>'Income Statement'!D28</f>
        <v>2.4</v>
      </c>
      <c r="E11" s="16">
        <f>'Income Statement'!E28</f>
        <v>2.4</v>
      </c>
      <c r="F11" s="16">
        <f>'Income Statement'!F28</f>
        <v>2.4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20.433382352941177</v>
      </c>
      <c r="D12" s="16">
        <f>'Income Statement'!D35</f>
        <v>19.640416666666667</v>
      </c>
      <c r="E12" s="16">
        <f>'Income Statement'!E35</f>
        <v>34.482499999999995</v>
      </c>
      <c r="F12" s="16">
        <f>'Income Statement'!F35</f>
        <v>37.819499999999998</v>
      </c>
      <c r="G12" s="16">
        <f>'Income Statement'!G35</f>
        <v>1.0491525423728758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0.12</v>
      </c>
      <c r="D13" s="17">
        <f t="shared" ref="D13:G13" si="1">ROUND(D11/D12, 2)</f>
        <v>0.12</v>
      </c>
      <c r="E13" s="17">
        <f t="shared" si="1"/>
        <v>7.0000000000000007E-2</v>
      </c>
      <c r="F13" s="17">
        <f t="shared" si="1"/>
        <v>0.06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983.81999999999994</v>
      </c>
      <c r="D16" s="16">
        <f>'Balance Sheet'!D9</f>
        <v>2395.5299999999997</v>
      </c>
      <c r="E16" s="16">
        <f>'Balance Sheet'!E9</f>
        <v>3772.4299999999994</v>
      </c>
      <c r="F16" s="16">
        <f>'Balance Sheet'!F9</f>
        <v>5282.8099999999995</v>
      </c>
      <c r="G16" s="16">
        <f>'Balance Sheet'!G9</f>
        <v>5344.7099999999991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20.433382352941177</v>
      </c>
      <c r="D17" s="16">
        <f>'Income Statement'!D35</f>
        <v>19.640416666666667</v>
      </c>
      <c r="E17" s="16">
        <f>'Income Statement'!E35</f>
        <v>34.482499999999995</v>
      </c>
      <c r="F17" s="16">
        <f>'Income Statement'!F35</f>
        <v>37.819499999999998</v>
      </c>
      <c r="G17" s="16">
        <f>'Income Statement'!G35</f>
        <v>1.0491525423728758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48.15</v>
      </c>
      <c r="D18" s="17">
        <f t="shared" ref="D18:G18" si="2">ROUND(D16/D17, 2)</f>
        <v>121.97</v>
      </c>
      <c r="E18" s="17">
        <f t="shared" si="2"/>
        <v>109.4</v>
      </c>
      <c r="F18" s="17">
        <f t="shared" si="2"/>
        <v>139.68</v>
      </c>
      <c r="G18" s="17">
        <f t="shared" si="2"/>
        <v>5094.3100000000004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2.4</v>
      </c>
      <c r="D21" s="16">
        <f>'Income Statement'!D28</f>
        <v>2.4</v>
      </c>
      <c r="E21" s="16">
        <f>'Income Statement'!E28</f>
        <v>2.4</v>
      </c>
      <c r="F21" s="16">
        <f>'Income Statement'!F28</f>
        <v>2.4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20.433382352941177</v>
      </c>
      <c r="D22" s="16">
        <f>'Income Statement'!D35</f>
        <v>19.640416666666667</v>
      </c>
      <c r="E22" s="16">
        <f>'Income Statement'!E35</f>
        <v>34.482499999999995</v>
      </c>
      <c r="F22" s="16">
        <f>'Income Statement'!F35</f>
        <v>37.819499999999998</v>
      </c>
      <c r="G22" s="16">
        <f>'Income Statement'!G35</f>
        <v>1.0491525423728758</v>
      </c>
    </row>
    <row r="23" spans="2:12" ht="18.75" x14ac:dyDescent="0.25">
      <c r="B23" s="15" t="s">
        <v>148</v>
      </c>
      <c r="C23" s="16">
        <f>ROUND(C21/C22, 2)</f>
        <v>0.12</v>
      </c>
      <c r="D23" s="16">
        <f t="shared" ref="D23:G23" si="3">ROUND(D21/D22, 2)</f>
        <v>0.12</v>
      </c>
      <c r="E23" s="16">
        <f t="shared" si="3"/>
        <v>7.0000000000000007E-2</v>
      </c>
      <c r="F23" s="16">
        <f t="shared" si="3"/>
        <v>0.06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1389.47</v>
      </c>
      <c r="D24" s="16">
        <f>'Income Statement'!D27</f>
        <v>1414.11</v>
      </c>
      <c r="E24" s="16">
        <f>'Income Statement'!E27</f>
        <v>1379.2999999999997</v>
      </c>
      <c r="F24" s="16">
        <f>'Income Statement'!F27</f>
        <v>1512.78</v>
      </c>
      <c r="G24" s="16">
        <f>'Income Statement'!G27</f>
        <v>61.899999999999679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20.433382352941177</v>
      </c>
      <c r="D25" s="16">
        <f>'Income Statement'!D35</f>
        <v>19.640416666666667</v>
      </c>
      <c r="E25" s="16">
        <f>'Income Statement'!E35</f>
        <v>34.482499999999995</v>
      </c>
      <c r="F25" s="16">
        <f>'Income Statement'!F35</f>
        <v>37.819499999999998</v>
      </c>
      <c r="G25" s="16">
        <f>'Income Statement'!G35</f>
        <v>1.0491525423728758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68</v>
      </c>
      <c r="D26" s="16">
        <f t="shared" ref="D26:G26" si="4">D24/D25</f>
        <v>72</v>
      </c>
      <c r="E26" s="16">
        <f t="shared" si="4"/>
        <v>40</v>
      </c>
      <c r="F26" s="16">
        <f t="shared" si="4"/>
        <v>40</v>
      </c>
      <c r="G26" s="16">
        <f t="shared" si="4"/>
        <v>59.000000000000007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</v>
      </c>
      <c r="D27" s="17">
        <f t="shared" ref="D27:G27" si="5">ROUND(D23/D26, 2)</f>
        <v>0</v>
      </c>
      <c r="E27" s="17">
        <f t="shared" si="5"/>
        <v>0</v>
      </c>
      <c r="F27" s="17">
        <f t="shared" si="5"/>
        <v>0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2.4</v>
      </c>
      <c r="D30" s="16">
        <f>'Income Statement'!D28</f>
        <v>2.4</v>
      </c>
      <c r="E30" s="16">
        <f>'Income Statement'!E28</f>
        <v>2.4</v>
      </c>
      <c r="F30" s="16">
        <f>'Income Statement'!F28</f>
        <v>2.4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20.433382352941177</v>
      </c>
      <c r="D31" s="16">
        <f>'Income Statement'!D35</f>
        <v>19.640416666666667</v>
      </c>
      <c r="E31" s="16">
        <f>'Income Statement'!E35</f>
        <v>34.482499999999995</v>
      </c>
      <c r="F31" s="16">
        <f>'Income Statement'!F35</f>
        <v>37.819499999999998</v>
      </c>
      <c r="G31" s="16">
        <f>'Income Statement'!G35</f>
        <v>1.0491525423728758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0.12</v>
      </c>
      <c r="D32" s="16">
        <f t="shared" ref="D32:G32" si="6">ROUND(D30/D31, 2)</f>
        <v>0.12</v>
      </c>
      <c r="E32" s="16">
        <f t="shared" si="6"/>
        <v>7.0000000000000007E-2</v>
      </c>
      <c r="F32" s="16">
        <f t="shared" si="6"/>
        <v>0.06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0.88</v>
      </c>
      <c r="D33" s="27">
        <f t="shared" ref="D33:G33" si="7">1-D32</f>
        <v>0.88</v>
      </c>
      <c r="E33" s="27">
        <f t="shared" si="7"/>
        <v>0.92999999999999994</v>
      </c>
      <c r="F33" s="27">
        <f t="shared" si="7"/>
        <v>0.94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3905.03</v>
      </c>
      <c r="D36" s="16">
        <f>'Income Statement'!D5</f>
        <v>3642.19</v>
      </c>
      <c r="E36" s="16">
        <f>'Income Statement'!E5</f>
        <v>3052.94</v>
      </c>
      <c r="F36" s="16">
        <f>'Income Statement'!F5</f>
        <v>2544.39</v>
      </c>
      <c r="G36" s="16">
        <f>'Income Statement'!G5</f>
        <v>4422.6099999999997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2073.46</v>
      </c>
      <c r="D37" s="16">
        <f>'Income Statement'!D11</f>
        <v>1780.46</v>
      </c>
      <c r="E37" s="16">
        <f>'Income Statement'!E11</f>
        <v>1207.0999999999999</v>
      </c>
      <c r="F37" s="16">
        <f>'Income Statement'!F11</f>
        <v>741.5</v>
      </c>
      <c r="G37" s="16">
        <f>'Income Statement'!G11</f>
        <v>3844.36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1831.57</v>
      </c>
      <c r="D38" s="28">
        <f t="shared" ref="D38:G38" si="8">ROUND(D36- D37, 2)</f>
        <v>1861.73</v>
      </c>
      <c r="E38" s="28">
        <f t="shared" si="8"/>
        <v>1845.84</v>
      </c>
      <c r="F38" s="28">
        <f t="shared" si="8"/>
        <v>1802.89</v>
      </c>
      <c r="G38" s="28">
        <f t="shared" si="8"/>
        <v>578.25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3905.03</v>
      </c>
      <c r="D41" s="16">
        <f>'Income Statement'!D5</f>
        <v>3642.19</v>
      </c>
      <c r="E41" s="16">
        <f>'Income Statement'!E5</f>
        <v>3052.94</v>
      </c>
      <c r="F41" s="16">
        <f>'Income Statement'!F5</f>
        <v>2544.39</v>
      </c>
      <c r="G41" s="16">
        <f>'Income Statement'!G5</f>
        <v>4422.6099999999997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2453.34</v>
      </c>
      <c r="D42" s="16">
        <f>'Income Statement'!D15</f>
        <v>2164.4900000000002</v>
      </c>
      <c r="E42" s="16">
        <f>'Income Statement'!E15</f>
        <v>1619.52</v>
      </c>
      <c r="F42" s="16">
        <f>'Income Statement'!F15</f>
        <v>1032.07</v>
      </c>
      <c r="G42" s="16">
        <f>'Income Statement'!G15</f>
        <v>4324.79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1451.69</v>
      </c>
      <c r="D43" s="28">
        <f t="shared" ref="D43:G43" si="9">ROUND(D41- D42, 2)</f>
        <v>1477.7</v>
      </c>
      <c r="E43" s="28">
        <f t="shared" si="9"/>
        <v>1433.42</v>
      </c>
      <c r="F43" s="28">
        <f t="shared" si="9"/>
        <v>1512.32</v>
      </c>
      <c r="G43" s="28">
        <f t="shared" si="9"/>
        <v>97.82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1389.47</v>
      </c>
      <c r="D46" s="16">
        <f>'Income Statement'!D27</f>
        <v>1414.11</v>
      </c>
      <c r="E46" s="16">
        <f>'Income Statement'!E27</f>
        <v>1379.2999999999997</v>
      </c>
      <c r="F46" s="16">
        <f>'Income Statement'!F27</f>
        <v>1512.78</v>
      </c>
      <c r="G46" s="16">
        <f>'Income Statement'!G27</f>
        <v>61.899999999999679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2316.89</v>
      </c>
      <c r="D47" s="16">
        <f>'Balance Sheet'!D40</f>
        <v>3380.95</v>
      </c>
      <c r="E47" s="16">
        <f>'Balance Sheet'!E40</f>
        <v>4643.329999999999</v>
      </c>
      <c r="F47" s="16">
        <f>'Balance Sheet'!F40</f>
        <v>6117.1999999999989</v>
      </c>
      <c r="G47" s="16">
        <f>'Balance Sheet'!G40</f>
        <v>6464.3499999999995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0.6</v>
      </c>
      <c r="D48" s="27">
        <f t="shared" ref="D48:G48" si="10">ROUND(D46/ D47, 2)</f>
        <v>0.42</v>
      </c>
      <c r="E48" s="27">
        <f t="shared" si="10"/>
        <v>0.3</v>
      </c>
      <c r="F48" s="27">
        <f t="shared" si="10"/>
        <v>0.25</v>
      </c>
      <c r="G48" s="27">
        <f t="shared" si="10"/>
        <v>0.01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1442.52</v>
      </c>
      <c r="D51" s="16">
        <f>'Income Statement'!D19</f>
        <v>1465.04</v>
      </c>
      <c r="E51" s="16">
        <f>'Income Statement'!E19</f>
        <v>1413.55</v>
      </c>
      <c r="F51" s="16">
        <f>'Income Statement'!F19</f>
        <v>1515.32</v>
      </c>
      <c r="G51" s="16">
        <f>'Income Statement'!G19</f>
        <v>91.559999999999675</v>
      </c>
    </row>
    <row r="52" spans="2:12" ht="19.5" thickTop="1" x14ac:dyDescent="0.25">
      <c r="B52" s="15" t="str">
        <f>'Balance Sheet'!B13</f>
        <v>Total Debt</v>
      </c>
      <c r="C52" s="16">
        <f>'Balance Sheet'!C13</f>
        <v>891.56</v>
      </c>
      <c r="D52" s="16">
        <f>'Balance Sheet'!D13</f>
        <v>739.01</v>
      </c>
      <c r="E52" s="16">
        <f>'Balance Sheet'!E13</f>
        <v>712.84</v>
      </c>
      <c r="F52" s="16">
        <f>'Balance Sheet'!F13</f>
        <v>584.06999999999994</v>
      </c>
      <c r="G52" s="16">
        <f>'Balance Sheet'!G13</f>
        <v>722.68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983.81999999999994</v>
      </c>
      <c r="D53" s="16">
        <f>'Balance Sheet'!D9</f>
        <v>2395.5299999999997</v>
      </c>
      <c r="E53" s="16">
        <f>'Balance Sheet'!E9</f>
        <v>3772.4299999999994</v>
      </c>
      <c r="F53" s="16">
        <f>'Balance Sheet'!F9</f>
        <v>5282.8099999999995</v>
      </c>
      <c r="G53" s="16">
        <f>'Balance Sheet'!G9</f>
        <v>5344.7099999999991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0.81</v>
      </c>
      <c r="D54" s="27">
        <f t="shared" ref="D54:G54" si="11">ROUND(D51/ (D52+ D52), 2)</f>
        <v>0.99</v>
      </c>
      <c r="E54" s="27">
        <f t="shared" si="11"/>
        <v>0.99</v>
      </c>
      <c r="F54" s="27">
        <f t="shared" si="11"/>
        <v>1.3</v>
      </c>
      <c r="G54" s="27">
        <f t="shared" si="11"/>
        <v>0.06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1389.47</v>
      </c>
      <c r="D57" s="16">
        <f>'Income Statement'!D27</f>
        <v>1414.11</v>
      </c>
      <c r="E57" s="16">
        <f>'Income Statement'!E27</f>
        <v>1379.2999999999997</v>
      </c>
      <c r="F57" s="16">
        <f>'Income Statement'!F27</f>
        <v>1512.78</v>
      </c>
      <c r="G57" s="16">
        <f>'Income Statement'!G27</f>
        <v>61.899999999999679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983.81999999999994</v>
      </c>
      <c r="D58" s="16">
        <f>'Balance Sheet'!D9</f>
        <v>2395.5299999999997</v>
      </c>
      <c r="E58" s="16">
        <f>'Balance Sheet'!E9</f>
        <v>3772.4299999999994</v>
      </c>
      <c r="F58" s="16">
        <f>'Balance Sheet'!F9</f>
        <v>5282.8099999999995</v>
      </c>
      <c r="G58" s="16">
        <f>'Balance Sheet'!G9</f>
        <v>5344.7099999999991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0.71</v>
      </c>
      <c r="D59" s="27">
        <f t="shared" ref="D59:G59" si="12">ROUND(D57/ (D58+ D58), 2)</f>
        <v>0.3</v>
      </c>
      <c r="E59" s="27">
        <f t="shared" si="12"/>
        <v>0.18</v>
      </c>
      <c r="F59" s="27">
        <f t="shared" si="12"/>
        <v>0.14000000000000001</v>
      </c>
      <c r="G59" s="27">
        <f t="shared" si="12"/>
        <v>0.01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891.56</v>
      </c>
      <c r="D62" s="16">
        <f>'Balance Sheet'!D13</f>
        <v>739.01</v>
      </c>
      <c r="E62" s="16">
        <f>'Balance Sheet'!E13</f>
        <v>712.84</v>
      </c>
      <c r="F62" s="16">
        <f>'Balance Sheet'!F13</f>
        <v>584.06999999999994</v>
      </c>
      <c r="G62" s="16">
        <f>'Balance Sheet'!G13</f>
        <v>722.68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983.81999999999994</v>
      </c>
      <c r="D63" s="16">
        <f>'Balance Sheet'!D9</f>
        <v>2395.5299999999997</v>
      </c>
      <c r="E63" s="16">
        <f>'Balance Sheet'!E9</f>
        <v>3772.4299999999994</v>
      </c>
      <c r="F63" s="16">
        <f>'Balance Sheet'!F9</f>
        <v>5282.8099999999995</v>
      </c>
      <c r="G63" s="16">
        <f>'Balance Sheet'!G9</f>
        <v>5344.7099999999991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0.91</v>
      </c>
      <c r="D64" s="17">
        <f t="shared" ref="D64:G64" si="13">ROUND(D62/ D63, 2)</f>
        <v>0.31</v>
      </c>
      <c r="E64" s="17">
        <f t="shared" si="13"/>
        <v>0.19</v>
      </c>
      <c r="F64" s="17">
        <f t="shared" si="13"/>
        <v>0.11</v>
      </c>
      <c r="G64" s="17">
        <f t="shared" si="13"/>
        <v>0.14000000000000001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1960.58</v>
      </c>
      <c r="D67" s="16">
        <f>'Balance Sheet'!D39</f>
        <v>3047.5699999999997</v>
      </c>
      <c r="E67" s="16">
        <f>'Balance Sheet'!E39</f>
        <v>4342.7199999999993</v>
      </c>
      <c r="F67" s="16">
        <f>'Balance Sheet'!F39</f>
        <v>5827.4599999999991</v>
      </c>
      <c r="G67" s="16">
        <f>'Balance Sheet'!G39</f>
        <v>6215.44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441.51</v>
      </c>
      <c r="D68" s="16">
        <f>'Balance Sheet'!D19</f>
        <v>246.41</v>
      </c>
      <c r="E68" s="16">
        <f>'Balance Sheet'!E19</f>
        <v>158.06</v>
      </c>
      <c r="F68" s="16">
        <f>'Balance Sheet'!F19</f>
        <v>252.16000000000003</v>
      </c>
      <c r="G68" s="16">
        <f>'Balance Sheet'!G19</f>
        <v>396.96000000000004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4.4400000000000004</v>
      </c>
      <c r="D69" s="17">
        <f t="shared" ref="D69:G69" si="14">ROUND(D67/ D68, 2)</f>
        <v>12.37</v>
      </c>
      <c r="E69" s="17">
        <f t="shared" si="14"/>
        <v>27.48</v>
      </c>
      <c r="F69" s="17">
        <f t="shared" si="14"/>
        <v>23.11</v>
      </c>
      <c r="G69" s="17">
        <f t="shared" si="14"/>
        <v>15.66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1960.58</v>
      </c>
      <c r="D72" s="16">
        <f>'Balance Sheet'!D39</f>
        <v>3047.5699999999997</v>
      </c>
      <c r="E72" s="16">
        <f>'Balance Sheet'!E39</f>
        <v>4342.7199999999993</v>
      </c>
      <c r="F72" s="16">
        <f>'Balance Sheet'!F39</f>
        <v>5827.4599999999991</v>
      </c>
      <c r="G72" s="16">
        <f>'Balance Sheet'!G39</f>
        <v>6215.44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559.4</v>
      </c>
      <c r="D73" s="16">
        <f>'Balance Sheet'!D36</f>
        <v>566.15</v>
      </c>
      <c r="E73" s="16">
        <f>'Balance Sheet'!E36</f>
        <v>553.86</v>
      </c>
      <c r="F73" s="16">
        <f>'Balance Sheet'!F36</f>
        <v>485.27</v>
      </c>
      <c r="G73" s="16">
        <f>'Balance Sheet'!G36</f>
        <v>564.65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441.51</v>
      </c>
      <c r="D74" s="16">
        <f>'Balance Sheet'!D19</f>
        <v>246.41</v>
      </c>
      <c r="E74" s="16">
        <f>'Balance Sheet'!E19</f>
        <v>158.06</v>
      </c>
      <c r="F74" s="16">
        <f>'Balance Sheet'!F19</f>
        <v>252.16000000000003</v>
      </c>
      <c r="G74" s="16">
        <f>'Balance Sheet'!G19</f>
        <v>396.96000000000004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3.17</v>
      </c>
      <c r="D75" s="17">
        <f t="shared" ref="D75:G75" si="15">ROUND((D72-D73)/ D74, 2)</f>
        <v>10.07</v>
      </c>
      <c r="E75" s="17">
        <f t="shared" si="15"/>
        <v>23.97</v>
      </c>
      <c r="F75" s="17">
        <f t="shared" si="15"/>
        <v>21.19</v>
      </c>
      <c r="G75" s="17">
        <f t="shared" si="15"/>
        <v>14.24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1442.52</v>
      </c>
      <c r="D78" s="16">
        <f>'Income Statement'!D19</f>
        <v>1465.04</v>
      </c>
      <c r="E78" s="16">
        <f>'Income Statement'!E19</f>
        <v>1413.55</v>
      </c>
      <c r="F78" s="16">
        <f>'Income Statement'!F19</f>
        <v>1515.32</v>
      </c>
      <c r="G78" s="16">
        <f>'Income Statement'!G19</f>
        <v>91.559999999999675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30.56</v>
      </c>
      <c r="D79" s="16">
        <f>'Income Statement'!D20</f>
        <v>26.39</v>
      </c>
      <c r="E79" s="16">
        <f>'Income Statement'!E20</f>
        <v>19.66</v>
      </c>
      <c r="F79" s="16">
        <f>'Income Statement'!F20</f>
        <v>3.57</v>
      </c>
      <c r="G79" s="16">
        <f>'Income Statement'!G20</f>
        <v>5.27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47.2</v>
      </c>
      <c r="D80" s="17">
        <f t="shared" ref="D80:G80" si="16">ROUND(D78/D79, 2)</f>
        <v>55.51</v>
      </c>
      <c r="E80" s="17">
        <f t="shared" si="16"/>
        <v>71.900000000000006</v>
      </c>
      <c r="F80" s="17">
        <f t="shared" si="16"/>
        <v>424.46</v>
      </c>
      <c r="G80" s="17">
        <f t="shared" si="16"/>
        <v>17.37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2073.46</v>
      </c>
      <c r="D83" s="16">
        <f>'Income Statement'!D11</f>
        <v>1780.46</v>
      </c>
      <c r="E83" s="16">
        <f>'Income Statement'!E11</f>
        <v>1207.0999999999999</v>
      </c>
      <c r="F83" s="16">
        <f>'Income Statement'!F11</f>
        <v>741.5</v>
      </c>
      <c r="G83" s="16">
        <f>'Income Statement'!G11</f>
        <v>3844.36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3905.03</v>
      </c>
      <c r="D84" s="16">
        <f>'Income Statement'!D7</f>
        <v>3642.19</v>
      </c>
      <c r="E84" s="16">
        <f>'Income Statement'!E7</f>
        <v>3052.94</v>
      </c>
      <c r="F84" s="16">
        <f>'Income Statement'!F7</f>
        <v>2544.39</v>
      </c>
      <c r="G84" s="16">
        <f>'Income Statement'!G7</f>
        <v>4422.6099999999997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0.53</v>
      </c>
      <c r="D85" s="17">
        <f t="shared" ref="D85:G85" si="17">ROUND(D83/D84, 2)</f>
        <v>0.49</v>
      </c>
      <c r="E85" s="17">
        <f t="shared" si="17"/>
        <v>0.4</v>
      </c>
      <c r="F85" s="17">
        <f t="shared" si="17"/>
        <v>0.28999999999999998</v>
      </c>
      <c r="G85" s="17">
        <f t="shared" si="17"/>
        <v>0.87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404.85</v>
      </c>
      <c r="D88" s="16">
        <f>'Balance Sheet'!D38</f>
        <v>1651.4799999999996</v>
      </c>
      <c r="E88" s="16">
        <f>'Balance Sheet'!E38</f>
        <v>2983.6599999999994</v>
      </c>
      <c r="F88" s="16">
        <f>'Balance Sheet'!F38</f>
        <v>4450.9799999999996</v>
      </c>
      <c r="G88" s="16">
        <f>'Balance Sheet'!G38</f>
        <v>4398.78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2073.46</v>
      </c>
      <c r="D89" s="16">
        <f>'Income Statement'!D11</f>
        <v>1780.46</v>
      </c>
      <c r="E89" s="16">
        <f>'Income Statement'!E11</f>
        <v>1207.0999999999999</v>
      </c>
      <c r="F89" s="16">
        <f>'Income Statement'!F11</f>
        <v>741.5</v>
      </c>
      <c r="G89" s="16">
        <f>'Income Statement'!G11</f>
        <v>3844.36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>
        <f>ROUND(C88/C89*365, 2)</f>
        <v>71.27</v>
      </c>
      <c r="D90" s="17">
        <f t="shared" ref="D90:G90" si="18">ROUND(D88/D89*365, 2)</f>
        <v>338.56</v>
      </c>
      <c r="E90" s="17">
        <f t="shared" si="18"/>
        <v>902.19</v>
      </c>
      <c r="F90" s="17">
        <f t="shared" si="18"/>
        <v>2190.9699999999998</v>
      </c>
      <c r="G90" s="17">
        <f t="shared" si="18"/>
        <v>417.64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404.85</v>
      </c>
      <c r="D93" s="16">
        <f>'Balance Sheet'!D38</f>
        <v>1651.4799999999996</v>
      </c>
      <c r="E93" s="16">
        <f>'Balance Sheet'!E38</f>
        <v>2983.6599999999994</v>
      </c>
      <c r="F93" s="16">
        <f>'Balance Sheet'!F38</f>
        <v>4450.9799999999996</v>
      </c>
      <c r="G93" s="16">
        <f>'Balance Sheet'!G38</f>
        <v>4398.78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404.85</v>
      </c>
      <c r="D95" s="17">
        <f t="shared" ref="D95:G95" si="19">ROUND(D93/D94*365, 2)</f>
        <v>1651.48</v>
      </c>
      <c r="E95" s="17">
        <f t="shared" si="19"/>
        <v>2983.66</v>
      </c>
      <c r="F95" s="17">
        <f t="shared" si="19"/>
        <v>4450.9799999999996</v>
      </c>
      <c r="G95" s="17">
        <f t="shared" si="19"/>
        <v>4398.78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3905.03</v>
      </c>
      <c r="D98" s="16">
        <f>'Income Statement'!D5</f>
        <v>3642.19</v>
      </c>
      <c r="E98" s="16">
        <f>'Income Statement'!E5</f>
        <v>3052.94</v>
      </c>
      <c r="F98" s="16">
        <f>'Income Statement'!F5</f>
        <v>2544.39</v>
      </c>
      <c r="G98" s="16">
        <f>'Income Statement'!G5</f>
        <v>4422.6099999999997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2316.89</v>
      </c>
      <c r="D99" s="16">
        <f>'Balance Sheet'!D40</f>
        <v>3380.95</v>
      </c>
      <c r="E99" s="16">
        <f>'Balance Sheet'!E40</f>
        <v>4643.329999999999</v>
      </c>
      <c r="F99" s="16">
        <f>'Balance Sheet'!F40</f>
        <v>6117.1999999999989</v>
      </c>
      <c r="G99" s="16">
        <f>'Balance Sheet'!G40</f>
        <v>6464.3499999999995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1.69</v>
      </c>
      <c r="D100" s="17">
        <f t="shared" ref="D100:G100" si="20">ROUND(D98/D99, 2)</f>
        <v>1.08</v>
      </c>
      <c r="E100" s="17">
        <f t="shared" si="20"/>
        <v>0.66</v>
      </c>
      <c r="F100" s="17">
        <f t="shared" si="20"/>
        <v>0.42</v>
      </c>
      <c r="G100" s="17">
        <f t="shared" si="20"/>
        <v>0.68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3905.03</v>
      </c>
      <c r="D103" s="16">
        <f>'Income Statement'!D5</f>
        <v>3642.19</v>
      </c>
      <c r="E103" s="16">
        <f>'Income Statement'!E5</f>
        <v>3052.94</v>
      </c>
      <c r="F103" s="16">
        <f>'Income Statement'!F5</f>
        <v>2544.39</v>
      </c>
      <c r="G103" s="16">
        <f>'Income Statement'!G5</f>
        <v>4422.6099999999997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559.4</v>
      </c>
      <c r="D104" s="16">
        <f>'Balance Sheet'!D36</f>
        <v>566.15</v>
      </c>
      <c r="E104" s="16">
        <f>'Balance Sheet'!E36</f>
        <v>553.86</v>
      </c>
      <c r="F104" s="16">
        <f>'Balance Sheet'!F36</f>
        <v>485.27</v>
      </c>
      <c r="G104" s="16">
        <f>'Balance Sheet'!G36</f>
        <v>564.65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6.98</v>
      </c>
      <c r="D105" s="17">
        <f t="shared" ref="D105:G105" si="21">ROUND(D103/D104, 2)</f>
        <v>6.43</v>
      </c>
      <c r="E105" s="17">
        <f t="shared" si="21"/>
        <v>5.51</v>
      </c>
      <c r="F105" s="17">
        <f t="shared" si="21"/>
        <v>5.24</v>
      </c>
      <c r="G105" s="17">
        <f t="shared" si="21"/>
        <v>7.83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3905.03</v>
      </c>
      <c r="D108" s="16">
        <f>'Income Statement'!D5</f>
        <v>3642.19</v>
      </c>
      <c r="E108" s="16">
        <f>'Income Statement'!E5</f>
        <v>3052.94</v>
      </c>
      <c r="F108" s="16">
        <f>'Income Statement'!F5</f>
        <v>2544.39</v>
      </c>
      <c r="G108" s="16">
        <f>'Income Statement'!G5</f>
        <v>4422.6099999999997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924.85</v>
      </c>
      <c r="D109" s="16">
        <f>'Balance Sheet'!D37</f>
        <v>765.39</v>
      </c>
      <c r="E109" s="16">
        <f>'Balance Sheet'!E37</f>
        <v>667.11</v>
      </c>
      <c r="F109" s="16">
        <f>'Balance Sheet'!F37</f>
        <v>806.45</v>
      </c>
      <c r="G109" s="16">
        <f>'Balance Sheet'!G37</f>
        <v>1048.01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4.22</v>
      </c>
      <c r="D110" s="17">
        <f t="shared" ref="D110:G110" si="22">ROUND(D108/D109, 2)</f>
        <v>4.76</v>
      </c>
      <c r="E110" s="17">
        <f t="shared" si="22"/>
        <v>4.58</v>
      </c>
      <c r="F110" s="17">
        <f t="shared" si="22"/>
        <v>3.16</v>
      </c>
      <c r="G110" s="17">
        <f t="shared" si="22"/>
        <v>4.22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3905.03</v>
      </c>
      <c r="D113" s="16">
        <f>'Income Statement'!D5</f>
        <v>3642.19</v>
      </c>
      <c r="E113" s="16">
        <f>'Income Statement'!E5</f>
        <v>3052.94</v>
      </c>
      <c r="F113" s="16">
        <f>'Income Statement'!F5</f>
        <v>2544.39</v>
      </c>
      <c r="G113" s="16">
        <f>'Income Statement'!G5</f>
        <v>4422.6099999999997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291.19</v>
      </c>
      <c r="D114" s="16">
        <f>'Balance Sheet'!D23</f>
        <v>278.81</v>
      </c>
      <c r="E114" s="16">
        <f>'Balance Sheet'!E23</f>
        <v>267.35000000000002</v>
      </c>
      <c r="F114" s="16">
        <f>'Balance Sheet'!F23</f>
        <v>253.03</v>
      </c>
      <c r="G114" s="16">
        <f>'Balance Sheet'!G23</f>
        <v>227.88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13.41</v>
      </c>
      <c r="D115" s="17">
        <f t="shared" ref="D115:G115" si="23">ROUND(D113/D114, 2)</f>
        <v>13.06</v>
      </c>
      <c r="E115" s="17">
        <f t="shared" si="23"/>
        <v>11.42</v>
      </c>
      <c r="F115" s="17">
        <f t="shared" si="23"/>
        <v>10.06</v>
      </c>
      <c r="G115" s="17">
        <f t="shared" si="23"/>
        <v>19.41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2073.46</v>
      </c>
      <c r="D118" s="16">
        <f>'Income Statement'!D11</f>
        <v>1780.46</v>
      </c>
      <c r="E118" s="16">
        <f>'Income Statement'!E11</f>
        <v>1207.0999999999999</v>
      </c>
      <c r="F118" s="16">
        <f>'Income Statement'!F11</f>
        <v>741.5</v>
      </c>
      <c r="G118" s="16">
        <f>'Income Statement'!G11</f>
        <v>3844.36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441.51</v>
      </c>
      <c r="D119" s="16">
        <f>'Balance Sheet'!D19</f>
        <v>246.41</v>
      </c>
      <c r="E119" s="16">
        <f>'Balance Sheet'!E19</f>
        <v>158.06</v>
      </c>
      <c r="F119" s="16">
        <f>'Balance Sheet'!F19</f>
        <v>252.16000000000003</v>
      </c>
      <c r="G119" s="16">
        <f>'Balance Sheet'!G19</f>
        <v>396.96000000000004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4.7</v>
      </c>
      <c r="D120" s="17">
        <f t="shared" ref="D120:G120" si="24">ROUND(D118/D119, 2)</f>
        <v>7.23</v>
      </c>
      <c r="E120" s="17">
        <f t="shared" si="24"/>
        <v>7.64</v>
      </c>
      <c r="F120" s="17">
        <f t="shared" si="24"/>
        <v>2.94</v>
      </c>
      <c r="G120" s="17">
        <f t="shared" si="24"/>
        <v>9.68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3905.03</v>
      </c>
      <c r="D123" s="16">
        <f>'Income Statement'!D5</f>
        <v>3642.19</v>
      </c>
      <c r="E123" s="16">
        <f>'Income Statement'!E5</f>
        <v>3052.94</v>
      </c>
      <c r="F123" s="16">
        <f>'Income Statement'!F5</f>
        <v>2544.39</v>
      </c>
      <c r="G123" s="16">
        <f>'Income Statement'!G5</f>
        <v>4422.6099999999997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559.4</v>
      </c>
      <c r="D124" s="16">
        <f>'Balance Sheet'!D36</f>
        <v>566.15</v>
      </c>
      <c r="E124" s="16">
        <f>'Balance Sheet'!E36</f>
        <v>553.86</v>
      </c>
      <c r="F124" s="16">
        <f>'Balance Sheet'!F36</f>
        <v>485.27</v>
      </c>
      <c r="G124" s="16">
        <f>'Balance Sheet'!G36</f>
        <v>564.65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52.29</v>
      </c>
      <c r="D125" s="17">
        <f t="shared" ref="D125:G125" si="25">ROUND(365/D123*D124, 2)</f>
        <v>56.74</v>
      </c>
      <c r="E125" s="17">
        <f t="shared" si="25"/>
        <v>66.22</v>
      </c>
      <c r="F125" s="17">
        <f t="shared" si="25"/>
        <v>69.61</v>
      </c>
      <c r="G125" s="17">
        <f t="shared" si="25"/>
        <v>46.6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2073.46</v>
      </c>
      <c r="D128" s="16">
        <f>'Income Statement'!D11</f>
        <v>1780.46</v>
      </c>
      <c r="E128" s="16">
        <f>'Income Statement'!E11</f>
        <v>1207.0999999999999</v>
      </c>
      <c r="F128" s="16">
        <f>'Income Statement'!F11</f>
        <v>741.5</v>
      </c>
      <c r="G128" s="16">
        <f>'Income Statement'!G11</f>
        <v>3844.36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441.51</v>
      </c>
      <c r="D129" s="16">
        <f>'Balance Sheet'!D19</f>
        <v>246.41</v>
      </c>
      <c r="E129" s="16">
        <f>'Balance Sheet'!E19</f>
        <v>158.06</v>
      </c>
      <c r="F129" s="16">
        <f>'Balance Sheet'!F19</f>
        <v>252.16000000000003</v>
      </c>
      <c r="G129" s="16">
        <f>'Balance Sheet'!G19</f>
        <v>396.96000000000004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>
        <f>ROUND(365/C128*C129, 2)</f>
        <v>77.72</v>
      </c>
      <c r="D130" s="17">
        <f t="shared" ref="D130:G130" si="26">ROUND(365/D128*D129, 2)</f>
        <v>50.51</v>
      </c>
      <c r="E130" s="17">
        <f t="shared" si="26"/>
        <v>47.79</v>
      </c>
      <c r="F130" s="17">
        <f t="shared" si="26"/>
        <v>124.12</v>
      </c>
      <c r="G130" s="17">
        <f t="shared" si="26"/>
        <v>37.69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3905.03</v>
      </c>
      <c r="D133" s="16">
        <f>'Income Statement'!D5</f>
        <v>3642.19</v>
      </c>
      <c r="E133" s="16">
        <f>'Income Statement'!E5</f>
        <v>3052.94</v>
      </c>
      <c r="F133" s="16">
        <f>'Income Statement'!F5</f>
        <v>2544.39</v>
      </c>
      <c r="G133" s="16">
        <f>'Income Statement'!G5</f>
        <v>4422.6099999999997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924.85</v>
      </c>
      <c r="D134" s="16">
        <f>'Balance Sheet'!D37</f>
        <v>765.39</v>
      </c>
      <c r="E134" s="16">
        <f>'Balance Sheet'!E37</f>
        <v>667.11</v>
      </c>
      <c r="F134" s="16">
        <f>'Balance Sheet'!F37</f>
        <v>806.45</v>
      </c>
      <c r="G134" s="16">
        <f>'Balance Sheet'!G37</f>
        <v>1048.01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86.44</v>
      </c>
      <c r="D135" s="17">
        <f t="shared" ref="D135:G135" si="27">ROUND(365/D133*D134, 2)</f>
        <v>76.7</v>
      </c>
      <c r="E135" s="17">
        <f t="shared" si="27"/>
        <v>79.760000000000005</v>
      </c>
      <c r="F135" s="17">
        <f t="shared" si="27"/>
        <v>115.69</v>
      </c>
      <c r="G135" s="17">
        <f t="shared" si="27"/>
        <v>86.49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3905.03</v>
      </c>
      <c r="D138" s="16">
        <f>'Income Statement'!D5</f>
        <v>3642.19</v>
      </c>
      <c r="E138" s="16">
        <f>'Income Statement'!E5</f>
        <v>3052.94</v>
      </c>
      <c r="F138" s="16">
        <f>'Income Statement'!F5</f>
        <v>2544.39</v>
      </c>
      <c r="G138" s="16">
        <f>'Income Statement'!G5</f>
        <v>4422.6099999999997</v>
      </c>
    </row>
    <row r="139" spans="2:12" ht="18.75" x14ac:dyDescent="0.25">
      <c r="B139" s="15" t="str">
        <f>'Balance Sheet'!B36</f>
        <v>Inventories</v>
      </c>
      <c r="C139" s="16">
        <f>'Balance Sheet'!C36</f>
        <v>559.4</v>
      </c>
      <c r="D139" s="16">
        <f>'Balance Sheet'!D36</f>
        <v>566.15</v>
      </c>
      <c r="E139" s="16">
        <f>'Balance Sheet'!E36</f>
        <v>553.86</v>
      </c>
      <c r="F139" s="16">
        <f>'Balance Sheet'!F36</f>
        <v>485.27</v>
      </c>
      <c r="G139" s="16">
        <f>'Balance Sheet'!G36</f>
        <v>564.65</v>
      </c>
    </row>
    <row r="140" spans="2:12" ht="18.75" x14ac:dyDescent="0.25">
      <c r="B140" s="15" t="s">
        <v>192</v>
      </c>
      <c r="C140" s="16">
        <f>ROUND(365/C138*C139, 2)</f>
        <v>52.29</v>
      </c>
      <c r="D140" s="16">
        <f t="shared" ref="D140:G140" si="28">ROUND(365/D138*D139, 2)</f>
        <v>56.74</v>
      </c>
      <c r="E140" s="16">
        <f t="shared" si="28"/>
        <v>66.22</v>
      </c>
      <c r="F140" s="16">
        <f t="shared" si="28"/>
        <v>69.61</v>
      </c>
      <c r="G140" s="16">
        <f t="shared" si="28"/>
        <v>46.6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2073.46</v>
      </c>
      <c r="D141" s="16">
        <f>'Income Statement'!D11</f>
        <v>1780.46</v>
      </c>
      <c r="E141" s="16">
        <f>'Income Statement'!E11</f>
        <v>1207.0999999999999</v>
      </c>
      <c r="F141" s="16">
        <f>'Income Statement'!F11</f>
        <v>741.5</v>
      </c>
      <c r="G141" s="16">
        <f>'Income Statement'!G11</f>
        <v>3844.36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441.51</v>
      </c>
      <c r="D142" s="16">
        <f>'Balance Sheet'!D19</f>
        <v>246.41</v>
      </c>
      <c r="E142" s="16">
        <f>'Balance Sheet'!E19</f>
        <v>158.06</v>
      </c>
      <c r="F142" s="16">
        <f>'Balance Sheet'!F19</f>
        <v>252.16000000000003</v>
      </c>
      <c r="G142" s="16">
        <f>'Balance Sheet'!G19</f>
        <v>396.96000000000004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>
        <f>ROUND(365/C141*C142, 2)</f>
        <v>77.72</v>
      </c>
      <c r="D143" s="16">
        <f t="shared" ref="D143:G143" si="29">ROUND(365/D141*D142, 2)</f>
        <v>50.51</v>
      </c>
      <c r="E143" s="16">
        <f t="shared" si="29"/>
        <v>47.79</v>
      </c>
      <c r="F143" s="16">
        <f t="shared" si="29"/>
        <v>124.12</v>
      </c>
      <c r="G143" s="16">
        <f t="shared" si="29"/>
        <v>37.69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>
        <f>ROUND(C143+C140, 2)</f>
        <v>130.01</v>
      </c>
      <c r="D144" s="28">
        <f t="shared" ref="D144:G144" si="30">ROUND(D143+D140, 2)</f>
        <v>107.25</v>
      </c>
      <c r="E144" s="28">
        <f t="shared" si="30"/>
        <v>114.01</v>
      </c>
      <c r="F144" s="28">
        <f t="shared" si="30"/>
        <v>193.73</v>
      </c>
      <c r="G144" s="28">
        <f t="shared" si="30"/>
        <v>84.29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3905.03</v>
      </c>
      <c r="D147" s="16">
        <f>'Income Statement'!D5</f>
        <v>3642.19</v>
      </c>
      <c r="E147" s="16">
        <f>'Income Statement'!E5</f>
        <v>3052.94</v>
      </c>
      <c r="F147" s="16">
        <f>'Income Statement'!F5</f>
        <v>2544.39</v>
      </c>
      <c r="G147" s="16">
        <f>'Income Statement'!G5</f>
        <v>4422.6099999999997</v>
      </c>
    </row>
    <row r="148" spans="2:12" ht="18.75" x14ac:dyDescent="0.25">
      <c r="B148" s="15" t="str">
        <f>'Balance Sheet'!B36</f>
        <v>Inventories</v>
      </c>
      <c r="C148" s="16">
        <f>'Balance Sheet'!C36</f>
        <v>559.4</v>
      </c>
      <c r="D148" s="16">
        <f>'Balance Sheet'!D36</f>
        <v>566.15</v>
      </c>
      <c r="E148" s="16">
        <f>'Balance Sheet'!E36</f>
        <v>553.86</v>
      </c>
      <c r="F148" s="16">
        <f>'Balance Sheet'!F36</f>
        <v>485.27</v>
      </c>
      <c r="G148" s="16">
        <f>'Balance Sheet'!G36</f>
        <v>564.65</v>
      </c>
    </row>
    <row r="149" spans="2:12" ht="18.75" x14ac:dyDescent="0.25">
      <c r="B149" s="15" t="s">
        <v>192</v>
      </c>
      <c r="C149" s="16">
        <f>ROUND(365/C147*C148, 2)</f>
        <v>52.29</v>
      </c>
      <c r="D149" s="16">
        <f t="shared" ref="D149:G149" si="31">ROUND(365/D147*D148, 2)</f>
        <v>56.74</v>
      </c>
      <c r="E149" s="16">
        <f t="shared" si="31"/>
        <v>66.22</v>
      </c>
      <c r="F149" s="16">
        <f t="shared" si="31"/>
        <v>69.61</v>
      </c>
      <c r="G149" s="16">
        <f t="shared" si="31"/>
        <v>46.6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2073.46</v>
      </c>
      <c r="D150" s="16">
        <f>'Income Statement'!D11</f>
        <v>1780.46</v>
      </c>
      <c r="E150" s="16">
        <f>'Income Statement'!E11</f>
        <v>1207.0999999999999</v>
      </c>
      <c r="F150" s="16">
        <f>'Income Statement'!F11</f>
        <v>741.5</v>
      </c>
      <c r="G150" s="16">
        <f>'Income Statement'!G11</f>
        <v>3844.36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441.51</v>
      </c>
      <c r="D151" s="16">
        <f>'Balance Sheet'!D19</f>
        <v>246.41</v>
      </c>
      <c r="E151" s="16">
        <f>'Balance Sheet'!E19</f>
        <v>158.06</v>
      </c>
      <c r="F151" s="16">
        <f>'Balance Sheet'!F19</f>
        <v>252.16000000000003</v>
      </c>
      <c r="G151" s="16">
        <f>'Balance Sheet'!G19</f>
        <v>396.96000000000004</v>
      </c>
    </row>
    <row r="152" spans="2:12" ht="18.75" x14ac:dyDescent="0.25">
      <c r="B152" s="15" t="s">
        <v>194</v>
      </c>
      <c r="C152" s="16">
        <f>ROUND(365/C150*C151, 2)</f>
        <v>77.72</v>
      </c>
      <c r="D152" s="16">
        <f t="shared" ref="D152:G152" si="32">ROUND(365/D150*D151, 2)</f>
        <v>50.51</v>
      </c>
      <c r="E152" s="16">
        <f t="shared" si="32"/>
        <v>47.79</v>
      </c>
      <c r="F152" s="16">
        <f t="shared" si="32"/>
        <v>124.12</v>
      </c>
      <c r="G152" s="16">
        <f t="shared" si="32"/>
        <v>37.69</v>
      </c>
    </row>
    <row r="153" spans="2:12" ht="18.75" x14ac:dyDescent="0.25">
      <c r="B153" s="15" t="s">
        <v>200</v>
      </c>
      <c r="C153" s="16">
        <f>ROUND(C152+C149, 2)</f>
        <v>130.01</v>
      </c>
      <c r="D153" s="16">
        <f t="shared" ref="D153:G153" si="33">ROUND(D152+D149, 2)</f>
        <v>107.25</v>
      </c>
      <c r="E153" s="16">
        <f t="shared" si="33"/>
        <v>114.01</v>
      </c>
      <c r="F153" s="16">
        <f t="shared" si="33"/>
        <v>193.73</v>
      </c>
      <c r="G153" s="16">
        <f t="shared" si="33"/>
        <v>84.29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2073.46</v>
      </c>
      <c r="D154" s="16">
        <f>'Income Statement'!D11</f>
        <v>1780.46</v>
      </c>
      <c r="E154" s="16">
        <f>'Income Statement'!E11</f>
        <v>1207.0999999999999</v>
      </c>
      <c r="F154" s="16">
        <f>'Income Statement'!F11</f>
        <v>741.5</v>
      </c>
      <c r="G154" s="16">
        <f>'Income Statement'!G11</f>
        <v>3844.36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441.51</v>
      </c>
      <c r="D155" s="16">
        <f>'Balance Sheet'!D19</f>
        <v>246.41</v>
      </c>
      <c r="E155" s="16">
        <f>'Balance Sheet'!E19</f>
        <v>158.06</v>
      </c>
      <c r="F155" s="16">
        <f>'Balance Sheet'!F19</f>
        <v>252.16000000000003</v>
      </c>
      <c r="G155" s="16">
        <f>'Balance Sheet'!G19</f>
        <v>396.96000000000004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>
        <f>ROUND(365/C154*C155, 2)</f>
        <v>77.72</v>
      </c>
      <c r="D156" s="16">
        <f t="shared" ref="D156:G156" si="34">ROUND(365/D154*D155, 2)</f>
        <v>50.51</v>
      </c>
      <c r="E156" s="16">
        <f t="shared" si="34"/>
        <v>47.79</v>
      </c>
      <c r="F156" s="16">
        <f t="shared" si="34"/>
        <v>124.12</v>
      </c>
      <c r="G156" s="16">
        <f t="shared" si="34"/>
        <v>37.69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>
        <f>ROUND(C156-C153, 2)</f>
        <v>-52.29</v>
      </c>
      <c r="D157" s="28">
        <f t="shared" ref="D157:G157" si="35">ROUND(D156-D153, 2)</f>
        <v>-56.74</v>
      </c>
      <c r="E157" s="28">
        <f t="shared" si="35"/>
        <v>-66.22</v>
      </c>
      <c r="F157" s="28">
        <f t="shared" si="35"/>
        <v>-69.61</v>
      </c>
      <c r="G157" s="28">
        <f t="shared" si="35"/>
        <v>-46.6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430000BA-EC20-4ACB-8619-0357A813E13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6163F8B5-5FBF-4CBC-B300-2C2B7627A03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610A485F-C9BC-4D79-9B38-860F40CEBEA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3CFF35B5-8DBE-417C-806D-EDF9E13329E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2438FBCF-8D80-4499-AF15-C538ACDC651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1EF4DCAA-4DBB-486E-A3C3-86D97686C46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4501B20F-D321-48CA-940F-F5A53A5D774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BEA2DAC8-3C70-4563-B457-099FEB785F4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A4DBD293-D4F7-4F3C-A871-1E70D54E196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99C15327-D72D-4461-9F02-09050A03BFA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B949FE95-B47C-42CB-A5F3-7090A0A885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77BE8F1F-9354-4DBC-99D0-FAC746F5E3F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CDABF51C-305B-4605-98E9-1463A03D04F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AA65D9FB-23B5-459B-8F35-D5D150D4861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244BBD87-CA33-42AC-A395-3D89762D166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0404ACDB-1F6A-4812-88A9-0755E31EC47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5EA72D96-B8D7-4C3C-96AE-4D2AA8DF6AF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706E8213-1CD2-4EC4-84CD-7313B50F364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F7CFD826-53BF-46DA-85AA-34BC57C7CA7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B8402176-3FD4-48C9-83CC-B87731B6619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7FED4077-EE8E-40A8-910E-D9541C3E19A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27B23653-4BCF-436B-8264-A7A7DFCA2DB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18173201-CC67-4AAE-9469-EBE8F3F1D0A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07906B0D-B80D-49EA-A3BF-D55F259F1D9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6ECD1BEF-3932-4EAC-9BDC-58D805FFDC5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20F811AE-62F1-4479-931B-FCF9E15F60D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7CCD7649-1375-49F3-BD9E-4E2FA645C00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31502-B6C8-4963-B6B8-C92E9C9102EB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8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1389.47</v>
      </c>
      <c r="D6" s="16">
        <f>'Income Statement'!D27</f>
        <v>1414.11</v>
      </c>
      <c r="E6" s="16">
        <f>'Income Statement'!E27</f>
        <v>1379.2999999999997</v>
      </c>
      <c r="F6" s="16">
        <f>'Income Statement'!F27</f>
        <v>1512.78</v>
      </c>
      <c r="G6" s="16">
        <f>'Income Statement'!G27</f>
        <v>61.899999999999679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20.433382352941177</v>
      </c>
      <c r="D7" s="16">
        <f>'Income Statement'!D35</f>
        <v>19.640416666666667</v>
      </c>
      <c r="E7" s="16">
        <f>'Income Statement'!E35</f>
        <v>34.482499999999995</v>
      </c>
      <c r="F7" s="16">
        <f>'Income Statement'!F35</f>
        <v>37.819499999999998</v>
      </c>
      <c r="G7" s="16">
        <f>'Income Statement'!G35</f>
        <v>1.0491525423728758</v>
      </c>
    </row>
    <row r="8" spans="2:7" ht="18.75" x14ac:dyDescent="0.25">
      <c r="B8" s="17" t="s">
        <v>146</v>
      </c>
      <c r="C8" s="17">
        <f>ROUND(C6/C7, 2)</f>
        <v>68</v>
      </c>
      <c r="D8" s="17">
        <f t="shared" ref="D8:G8" si="0">ROUND(D6/D7, 2)</f>
        <v>72</v>
      </c>
      <c r="E8" s="17">
        <f t="shared" si="0"/>
        <v>40</v>
      </c>
      <c r="F8" s="17">
        <f t="shared" si="0"/>
        <v>40</v>
      </c>
      <c r="G8" s="17">
        <f t="shared" si="0"/>
        <v>59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8BB48C-3CAE-4EE1-A209-70EF5B21DF9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8.42578125" bestFit="1" customWidth="1"/>
    <col min="7" max="7" width="8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2.4</v>
      </c>
      <c r="D6" s="16">
        <f>'Income Statement'!D28</f>
        <v>2.4</v>
      </c>
      <c r="E6" s="16">
        <f>'Income Statement'!E28</f>
        <v>2.4</v>
      </c>
      <c r="F6" s="16">
        <f>'Income Statement'!F28</f>
        <v>2.4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20.433382352941177</v>
      </c>
      <c r="D7" s="16">
        <f>'Income Statement'!D35</f>
        <v>19.640416666666667</v>
      </c>
      <c r="E7" s="16">
        <f>'Income Statement'!E35</f>
        <v>34.482499999999995</v>
      </c>
      <c r="F7" s="16">
        <f>'Income Statement'!F35</f>
        <v>37.819499999999998</v>
      </c>
      <c r="G7" s="16">
        <f>'Income Statement'!G35</f>
        <v>1.0491525423728758</v>
      </c>
    </row>
    <row r="8" spans="2:7" ht="18.75" x14ac:dyDescent="0.25">
      <c r="B8" s="17" t="s">
        <v>148</v>
      </c>
      <c r="C8" s="17">
        <f>ROUND(C6/C7, 2)</f>
        <v>0.12</v>
      </c>
      <c r="D8" s="17">
        <f t="shared" ref="D8:G8" si="0">ROUND(D6/D7, 2)</f>
        <v>0.12</v>
      </c>
      <c r="E8" s="17">
        <f t="shared" si="0"/>
        <v>7.0000000000000007E-2</v>
      </c>
      <c r="F8" s="17">
        <f t="shared" si="0"/>
        <v>0.06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B8CAD-C91A-48B6-9AA8-DCE19100894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3" width="10" bestFit="1" customWidth="1"/>
    <col min="4" max="6" width="11.5703125" bestFit="1" customWidth="1"/>
    <col min="7" max="7" width="12.28515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983.81999999999994</v>
      </c>
      <c r="D6" s="16">
        <f>'Balance Sheet'!D9</f>
        <v>2395.5299999999997</v>
      </c>
      <c r="E6" s="16">
        <f>'Balance Sheet'!E9</f>
        <v>3772.4299999999994</v>
      </c>
      <c r="F6" s="16">
        <f>'Balance Sheet'!F9</f>
        <v>5282.8099999999995</v>
      </c>
      <c r="G6" s="16">
        <f>'Balance Sheet'!G9</f>
        <v>5344.7099999999991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20.433382352941177</v>
      </c>
      <c r="D7" s="16">
        <f>'Income Statement'!D35</f>
        <v>19.640416666666667</v>
      </c>
      <c r="E7" s="16">
        <f>'Income Statement'!E35</f>
        <v>34.482499999999995</v>
      </c>
      <c r="F7" s="16">
        <f>'Income Statement'!F35</f>
        <v>37.819499999999998</v>
      </c>
      <c r="G7" s="16">
        <f>'Income Statement'!G35</f>
        <v>1.0491525423728758</v>
      </c>
    </row>
    <row r="8" spans="2:7" ht="18.75" x14ac:dyDescent="0.25">
      <c r="B8" s="17" t="s">
        <v>150</v>
      </c>
      <c r="C8" s="17">
        <f>ROUND(C6/C7, 2)</f>
        <v>48.15</v>
      </c>
      <c r="D8" s="17">
        <f t="shared" ref="D8:G8" si="0">ROUND(D6/D7, 2)</f>
        <v>121.97</v>
      </c>
      <c r="E8" s="17">
        <f t="shared" si="0"/>
        <v>109.4</v>
      </c>
      <c r="F8" s="17">
        <f t="shared" si="0"/>
        <v>139.68</v>
      </c>
      <c r="G8" s="17">
        <f t="shared" si="0"/>
        <v>5094.3100000000004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2022-07-03T10:57:17Z</dcterms:created>
  <dcterms:modified xsi:type="dcterms:W3CDTF">2022-07-04T07:14:03Z</dcterms:modified>
</cp:coreProperties>
</file>