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18D098BA-EE0B-4661-A641-9B04B7A45A48}" xr6:coauthVersionLast="47" xr6:coauthVersionMax="47" xr10:uidLastSave="{00000000-0000-0000-0000-000000000000}"/>
  <bookViews>
    <workbookView xWindow="-120" yWindow="-120" windowWidth="20730" windowHeight="11160" firstSheet="42" activeTab="44" xr2:uid="{C4AB8D7D-2D58-41AE-90F8-416CB490843E}"/>
  </bookViews>
  <sheets>
    <sheet name="BSInput" sheetId="1" r:id="rId1"/>
    <sheet name="ISMInput" sheetId="2" r:id="rId2"/>
    <sheet name="Income Statement" sheetId="3" r:id="rId3"/>
    <sheet name="Balance Sheet" sheetId="4" r:id="rId4"/>
    <sheet name="CashFlow Statement" sheetId="5" r:id="rId5"/>
    <sheet name="Ratios" sheetId="6" r:id="rId6"/>
    <sheet name="Earning  Per Share" sheetId="7" r:id="rId7"/>
    <sheet name="Equity Dividend Per Share" sheetId="8" r:id="rId8"/>
    <sheet name="Book Value  Per Share" sheetId="9" r:id="rId9"/>
    <sheet name="Dividend Pay Out Ratio" sheetId="10" r:id="rId10"/>
    <sheet name="Dividend Retention Ratio" sheetId="11" r:id="rId11"/>
    <sheet name="Gross Profit" sheetId="12" r:id="rId12"/>
    <sheet name="Net Profit" sheetId="13" r:id="rId13"/>
    <sheet name="Return On Assets" sheetId="14" r:id="rId14"/>
    <sheet name="Return On Capital Employeed" sheetId="15" r:id="rId15"/>
    <sheet name="Return On Equity" sheetId="16" r:id="rId16"/>
    <sheet name="Debt Equity Ratio" sheetId="17" r:id="rId17"/>
    <sheet name="Current Ratio" sheetId="18" r:id="rId18"/>
    <sheet name="Quick Ratio" sheetId="19" r:id="rId19"/>
    <sheet name="Interest Coverage Ratio" sheetId="20" r:id="rId20"/>
    <sheet name="Material Consumed" sheetId="21" r:id="rId21"/>
    <sheet name="Defensive Interval Ratio" sheetId="22" r:id="rId22"/>
    <sheet name="Purchases Per Day" sheetId="23" r:id="rId23"/>
    <sheet name="Asset TurnOver Ratio" sheetId="24" r:id="rId24"/>
    <sheet name="Inventory TurnOver Ratio" sheetId="25" r:id="rId25"/>
    <sheet name="Debtors TurnOver Ratio" sheetId="26" r:id="rId26"/>
    <sheet name="Fixed Assets TurnOver Ratio" sheetId="27" r:id="rId27"/>
    <sheet name="Payable TurnOver Ratio" sheetId="28" r:id="rId28"/>
    <sheet name="Inventory Days" sheetId="29" r:id="rId29"/>
    <sheet name="Payable Days" sheetId="30" r:id="rId30"/>
    <sheet name="Receivable Days" sheetId="31" r:id="rId31"/>
    <sheet name="Operating Cycle" sheetId="32" r:id="rId32"/>
    <sheet name="Cash Conversion Cycle Days" sheetId="33" r:id="rId33"/>
    <sheet name="NetWorthVsTotalLiabilties" sheetId="34" r:id="rId34"/>
    <sheet name="PBDITvsPBIT" sheetId="35" r:id="rId35"/>
    <sheet name="CAvsCL" sheetId="36" r:id="rId36"/>
    <sheet name="Long And Short Term Provisions" sheetId="37" r:id="rId37"/>
    <sheet name="MaterialConsumed_DirectExpenses" sheetId="38" r:id="rId38"/>
    <sheet name="Gross Sales In Total Income" sheetId="39" r:id="rId39"/>
    <sheet name="Total_Debt_In_Liabilities" sheetId="40" r:id="rId40"/>
    <sheet name="Total_CL_In_Liabilities" sheetId="41" r:id="rId41"/>
    <sheet name="Total_NCA_In_Assets" sheetId="42" r:id="rId42"/>
    <sheet name="Total_CA_In_Assets" sheetId="43" r:id="rId43"/>
    <sheet name="TotalExpenditureVsTotalIncome" sheetId="44" r:id="rId44"/>
    <sheet name="Net Profit CF To Balance Sheet" sheetId="45" r:id="rId45"/>
  </sheets>
  <definedNames>
    <definedName name="AmountCFtoBalanceSheet">'Income Statement'!$B$30:$G$30</definedName>
    <definedName name="AssetTurnOverRatio">'Asset TurnOver Ratio'!$B$8:$G$8</definedName>
    <definedName name="BookValuePerShare">'Book Value  Per Share'!$B$8:$G$8</definedName>
    <definedName name="CapitalWorkInProgress">'Balance Sheet'!$B$29:$G$29</definedName>
    <definedName name="CashAndCashEquivalents">'Balance Sheet'!$B$38:$G$38</definedName>
    <definedName name="CashCFtoBalanceSheet">'CashFlow Statement'!$B$48:$G$48</definedName>
    <definedName name="CostOfMaterialsConsumed">'Income Statement'!$B$11:$G$11</definedName>
    <definedName name="CurrentInvestments">'Balance Sheet'!$B$28:$G$28</definedName>
    <definedName name="CurrentRatio">'Current Ratio'!$B$8:$G$8</definedName>
    <definedName name="DebtEquityRatio">'Debt Equity Ratio'!$B$8:$G$8</definedName>
    <definedName name="DebtorsTurnOverRatio">'Debtors TurnOver Ratio'!$B$8:$G$8</definedName>
    <definedName name="DefensiveIntervalRatio">'Defensive Interval Ratio'!$B$8:$G$8</definedName>
    <definedName name="DeferredTaxAssetsNet">'Balance Sheet'!$B$31:$G$31</definedName>
    <definedName name="DeferredTaxLiabilitiesNet">'Balance Sheet'!$B$11:$G$11</definedName>
    <definedName name="Depreciation">'Balance Sheet'!$B$25:$G$25</definedName>
    <definedName name="DepreciationAndAmortisationExpenses">'Income Statement'!$B$18:$G$18</definedName>
    <definedName name="EarningPerShare">'Earning  Per Share'!$B$8:$G$8</definedName>
    <definedName name="EmployeeBenefitExpenses">'Income Statement'!$B$13:$G$13</definedName>
    <definedName name="EquityDividendPerShare">'Equity Dividend Per Share'!$B$8:$G$8</definedName>
    <definedName name="EquityShareCapital">'Balance Sheet'!$B$5:$G$5</definedName>
    <definedName name="EquityShareDividend">'Income Statement'!$B$28:$G$28</definedName>
    <definedName name="ExceptionalItems">'Income Statement'!$B$24:$G$24</definedName>
    <definedName name="ExciseDuty">'Income Statement'!$B$6:$G$6</definedName>
    <definedName name="FinanceCosts">'Income Statement'!$B$20:$G$20</definedName>
    <definedName name="GrossProfit">'Gross Profit'!$B$8:$G$8</definedName>
    <definedName name="GrossSales">'Income Statement'!$B$5:$G$5</definedName>
    <definedName name="IntangibleAssets">'Balance Sheet'!$B$24:$G$24</definedName>
    <definedName name="InterestCoverageRatio">'Interest Coverage Ratio'!$B$8:$G$8</definedName>
    <definedName name="Inventories">'Balance Sheet'!$B$36:$G$36</definedName>
    <definedName name="InventoryTurnOverRatio">'Inventory TurnOver Ratio'!$B$8:$G$8</definedName>
    <definedName name="LongTermBorrowings">'Balance Sheet'!$B$10:$G$10</definedName>
    <definedName name="LongTermLoansAndAdvances">'Balance Sheet'!$B$32:$G$32</definedName>
    <definedName name="LongTermProvisions">'Balance Sheet'!$B$14:$G$14</definedName>
    <definedName name="MaterialConsumed">'Material Consumed'!$B$8:$G$8</definedName>
    <definedName name="MinorityInterest">'Balance Sheet'!$B$20:$G$20</definedName>
    <definedName name="NetAssets">'Balance Sheet'!$B$26:$G$26</definedName>
    <definedName name="NetProfit">'Net Profit'!$B$8:$G$8</definedName>
    <definedName name="NetSales">'Income Statement'!$B$7:$G$7</definedName>
    <definedName name="NetWorth">'Balance Sheet'!$B$9:$G$9</definedName>
    <definedName name="NonCurrentInvestments">'Balance Sheet'!$B$27:$G$27</definedName>
    <definedName name="OperatingAndDirectExpenses">'Income Statement'!$B$12:$G$12</definedName>
    <definedName name="OperatingProfit">'Income Statement'!$B$16:$G$16</definedName>
    <definedName name="OtherCurrentAssets">'Balance Sheet'!$B$35:$G$35</definedName>
    <definedName name="OtherCurrentLiabilities">'Balance Sheet'!$B$18:$G$18</definedName>
    <definedName name="OtherExpenses">'Income Statement'!$B$14:$G$14</definedName>
    <definedName name="OtherIncome">'Income Statement'!$B$8:$G$8</definedName>
    <definedName name="OtherLongTermLiabilities">'Balance Sheet'!$B$16:$G$16</definedName>
    <definedName name="OtherNonCurrentAssets">'Balance Sheet'!$B$33:$G$33</definedName>
    <definedName name="PBDIT">'Income Statement'!$B$17:$G$17</definedName>
    <definedName name="PBIT">'Income Statement'!$B$19:$G$19</definedName>
    <definedName name="PBT">'Income Statement'!$B$23:$G$23</definedName>
    <definedName name="PBTPostExtraOrdinaryItems">'Income Statement'!$B$25:$G$25</definedName>
    <definedName name="PreferenceShareCapital">'Balance Sheet'!$B$6:$G$6</definedName>
    <definedName name="ProfitBeforeshareofAssociates">'Income Statement'!$B$21:$G$21</definedName>
    <definedName name="QuickRatio">'Quick Ratio'!$B$9:$G$9</definedName>
    <definedName name="ReportedNetProfitPAT">'Income Statement'!$B$27:$G$27</definedName>
    <definedName name="ReservesandSurplus">'Balance Sheet'!$B$8:$G$8</definedName>
    <definedName name="ReturnOnAssets">'Return On Assets'!$B$8:$G$8</definedName>
    <definedName name="ReturnOnCapitalEmployeed">'Return On Capital Employeed'!$B$9:$G$9</definedName>
    <definedName name="ReturnOnEquity">'Return On Equity'!$B$8:$G$8</definedName>
    <definedName name="ShareOfProfitLossOfAssociates">'Income Statement'!$B$22:$G$22</definedName>
    <definedName name="SharesOutstanding">'Income Statement'!$B$35:$G$35</definedName>
    <definedName name="ShortTermBorrowings">'Balance Sheet'!$B$12:$G$12</definedName>
    <definedName name="ShortTermLoansAndAdvances">'Balance Sheet'!$B$34:$G$34</definedName>
    <definedName name="ShortTermProvisions">'Balance Sheet'!$B$15:$G$15</definedName>
    <definedName name="StockAdjustments">'Income Statement'!$B$9:$G$9</definedName>
    <definedName name="TangibleAssets">'Balance Sheet'!$B$23:$G$23</definedName>
    <definedName name="TaxOnDividend">'Income Statement'!$B$29:$G$29</definedName>
    <definedName name="TotalAssets">'Balance Sheet'!$B$40:$G$40</definedName>
    <definedName name="TotalCashFlowfromInvestmentActivities">'CashFlow Statement'!$B$35:$G$35</definedName>
    <definedName name="TotalCashFromFinancingActivities">'CashFlow Statement'!$B$47:$G$47</definedName>
    <definedName name="TotalCashfromOperatingActivities">'CashFlow Statement'!$B$27:$G$27</definedName>
    <definedName name="TotalCurrentAssets">'Balance Sheet'!$B$39:$G$39</definedName>
    <definedName name="TotalCurrentLiabilities">'Balance Sheet'!$B$19:$G$19</definedName>
    <definedName name="TotalDebt">'Balance Sheet'!$B$13:$G$13</definedName>
    <definedName name="TotalExpenditure">'Income Statement'!$B$15:$G$15</definedName>
    <definedName name="TotalIncome">'Income Statement'!$B$10:$G$10</definedName>
    <definedName name="TotalLiabilities">'Balance Sheet'!$B$21:$G$21</definedName>
    <definedName name="TotalNonCashNonOperatingTransactions">'CashFlow Statement'!$B$10:$G$10</definedName>
    <definedName name="TotalNonCurrentAssets">'Balance Sheet'!$B$30:$G$30</definedName>
    <definedName name="TotalShareCapital">'Balance Sheet'!$B$7:$G$7</definedName>
    <definedName name="TotalTaxExpenses">'Income Statement'!$B$26:$G$26</definedName>
    <definedName name="TradePayables">'Balance Sheet'!$B$17:$G$17</definedName>
    <definedName name="TradeReceivables">'Balance Sheet'!$B$37:$G$37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45" l="1"/>
  <c r="D5" i="45"/>
  <c r="E5" i="45"/>
  <c r="F5" i="45"/>
  <c r="G5" i="45"/>
  <c r="C6" i="45"/>
  <c r="D6" i="45"/>
  <c r="E6" i="45"/>
  <c r="F6" i="45"/>
  <c r="G6" i="45"/>
  <c r="B6" i="45"/>
  <c r="B5" i="45"/>
  <c r="D4" i="45"/>
  <c r="E4" i="45"/>
  <c r="F4" i="45"/>
  <c r="G4" i="45"/>
  <c r="C4" i="45"/>
  <c r="C5" i="44"/>
  <c r="D5" i="44"/>
  <c r="E5" i="44"/>
  <c r="F5" i="44"/>
  <c r="G5" i="44"/>
  <c r="C6" i="44"/>
  <c r="D6" i="44"/>
  <c r="E6" i="44"/>
  <c r="F6" i="44"/>
  <c r="G6" i="44"/>
  <c r="B6" i="44"/>
  <c r="B5" i="44"/>
  <c r="D4" i="44"/>
  <c r="E4" i="44"/>
  <c r="F4" i="44"/>
  <c r="G4" i="44"/>
  <c r="C4" i="44"/>
  <c r="C5" i="43"/>
  <c r="D5" i="43"/>
  <c r="E5" i="43"/>
  <c r="F5" i="43"/>
  <c r="G5" i="43"/>
  <c r="C6" i="43"/>
  <c r="D6" i="43"/>
  <c r="E6" i="43"/>
  <c r="F6" i="43"/>
  <c r="G6" i="43"/>
  <c r="B6" i="43"/>
  <c r="B5" i="43"/>
  <c r="D4" i="43"/>
  <c r="E4" i="43"/>
  <c r="F4" i="43"/>
  <c r="G4" i="43"/>
  <c r="C4" i="43"/>
  <c r="C5" i="42"/>
  <c r="D5" i="42"/>
  <c r="E5" i="42"/>
  <c r="F5" i="42"/>
  <c r="G5" i="42"/>
  <c r="C6" i="42"/>
  <c r="D6" i="42"/>
  <c r="E6" i="42"/>
  <c r="F6" i="42"/>
  <c r="G6" i="42"/>
  <c r="B6" i="42"/>
  <c r="B5" i="42"/>
  <c r="D4" i="42"/>
  <c r="E4" i="42"/>
  <c r="F4" i="42"/>
  <c r="G4" i="42"/>
  <c r="C4" i="42"/>
  <c r="C5" i="41"/>
  <c r="D5" i="41"/>
  <c r="E5" i="41"/>
  <c r="F5" i="41"/>
  <c r="G5" i="41"/>
  <c r="C6" i="41"/>
  <c r="D6" i="41"/>
  <c r="E6" i="41"/>
  <c r="F6" i="41"/>
  <c r="G6" i="41"/>
  <c r="B6" i="41"/>
  <c r="B5" i="41"/>
  <c r="D4" i="41"/>
  <c r="E4" i="41"/>
  <c r="F4" i="41"/>
  <c r="G4" i="41"/>
  <c r="C4" i="41"/>
  <c r="C5" i="40"/>
  <c r="D5" i="40"/>
  <c r="E5" i="40"/>
  <c r="F5" i="40"/>
  <c r="G5" i="40"/>
  <c r="C6" i="40"/>
  <c r="D6" i="40"/>
  <c r="E6" i="40"/>
  <c r="F6" i="40"/>
  <c r="G6" i="40"/>
  <c r="B6" i="40"/>
  <c r="B5" i="40"/>
  <c r="D4" i="40"/>
  <c r="E4" i="40"/>
  <c r="F4" i="40"/>
  <c r="G4" i="40"/>
  <c r="C4" i="40"/>
  <c r="C5" i="39"/>
  <c r="D5" i="39"/>
  <c r="E5" i="39"/>
  <c r="F5" i="39"/>
  <c r="G5" i="39"/>
  <c r="C6" i="39"/>
  <c r="D6" i="39"/>
  <c r="E6" i="39"/>
  <c r="F6" i="39"/>
  <c r="G6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C5" i="36"/>
  <c r="D5" i="36"/>
  <c r="E5" i="36"/>
  <c r="F5" i="36"/>
  <c r="G5" i="36"/>
  <c r="C6" i="36"/>
  <c r="D6" i="36"/>
  <c r="E6" i="36"/>
  <c r="F6" i="36"/>
  <c r="G6" i="36"/>
  <c r="B6" i="36"/>
  <c r="B5" i="36"/>
  <c r="D4" i="36"/>
  <c r="E4" i="36"/>
  <c r="F4" i="36"/>
  <c r="G4" i="36"/>
  <c r="C4" i="36"/>
  <c r="C5" i="35"/>
  <c r="D5" i="35"/>
  <c r="E5" i="35"/>
  <c r="F5" i="35"/>
  <c r="G5" i="35"/>
  <c r="C6" i="35"/>
  <c r="D6" i="35"/>
  <c r="E6" i="35"/>
  <c r="F6" i="35"/>
  <c r="G6" i="35"/>
  <c r="B6" i="35"/>
  <c r="B5" i="35"/>
  <c r="D4" i="35"/>
  <c r="E4" i="35"/>
  <c r="F4" i="35"/>
  <c r="G4" i="35"/>
  <c r="C4" i="35"/>
  <c r="C5" i="34"/>
  <c r="D5" i="34"/>
  <c r="E5" i="34"/>
  <c r="F5" i="34"/>
  <c r="G5" i="34"/>
  <c r="C6" i="34"/>
  <c r="D6" i="34"/>
  <c r="E6" i="34"/>
  <c r="F6" i="34"/>
  <c r="G6" i="34"/>
  <c r="B6" i="34"/>
  <c r="B5" i="34"/>
  <c r="D4" i="34"/>
  <c r="E4" i="34"/>
  <c r="F4" i="34"/>
  <c r="G4" i="34"/>
  <c r="C4" i="34"/>
  <c r="D16" i="33"/>
  <c r="E16" i="33"/>
  <c r="F16" i="33"/>
  <c r="G16" i="33"/>
  <c r="C16" i="33"/>
  <c r="D15" i="33"/>
  <c r="E15" i="33"/>
  <c r="F15" i="33"/>
  <c r="G15" i="33"/>
  <c r="C15" i="33"/>
  <c r="C13" i="33"/>
  <c r="D13" i="33"/>
  <c r="E13" i="33"/>
  <c r="F13" i="33"/>
  <c r="G13" i="33"/>
  <c r="C14" i="33"/>
  <c r="D14" i="33"/>
  <c r="E14" i="33"/>
  <c r="F14" i="33"/>
  <c r="G14" i="33"/>
  <c r="B14" i="33"/>
  <c r="B13" i="33"/>
  <c r="D12" i="33"/>
  <c r="E12" i="33"/>
  <c r="F12" i="33"/>
  <c r="G12" i="33"/>
  <c r="C12" i="33"/>
  <c r="D11" i="33"/>
  <c r="E11" i="33"/>
  <c r="F11" i="33"/>
  <c r="G11" i="33"/>
  <c r="C11" i="33"/>
  <c r="C9" i="33"/>
  <c r="D9" i="33"/>
  <c r="E9" i="33"/>
  <c r="F9" i="33"/>
  <c r="G9" i="33"/>
  <c r="C10" i="33"/>
  <c r="D10" i="33"/>
  <c r="E10" i="33"/>
  <c r="F10" i="33"/>
  <c r="G10" i="33"/>
  <c r="B10" i="33"/>
  <c r="B9" i="33"/>
  <c r="D8" i="33"/>
  <c r="E8" i="33"/>
  <c r="F8" i="33"/>
  <c r="G8" i="33"/>
  <c r="C8" i="33"/>
  <c r="C6" i="33"/>
  <c r="D6" i="33"/>
  <c r="E6" i="33"/>
  <c r="F6" i="33"/>
  <c r="G6" i="33"/>
  <c r="C7" i="33"/>
  <c r="D7" i="33"/>
  <c r="E7" i="33"/>
  <c r="F7" i="33"/>
  <c r="G7" i="33"/>
  <c r="B7" i="33"/>
  <c r="B6" i="33"/>
  <c r="D12" i="32"/>
  <c r="E12" i="32"/>
  <c r="F12" i="32"/>
  <c r="G12" i="32"/>
  <c r="C12" i="32"/>
  <c r="D11" i="32"/>
  <c r="E11" i="32"/>
  <c r="F11" i="32"/>
  <c r="G11" i="32"/>
  <c r="C11" i="32"/>
  <c r="C9" i="32"/>
  <c r="D9" i="32"/>
  <c r="E9" i="32"/>
  <c r="F9" i="32"/>
  <c r="G9" i="32"/>
  <c r="C10" i="32"/>
  <c r="D10" i="32"/>
  <c r="E10" i="32"/>
  <c r="F10" i="32"/>
  <c r="G10" i="32"/>
  <c r="B10" i="32"/>
  <c r="B9" i="32"/>
  <c r="D8" i="32"/>
  <c r="E8" i="32"/>
  <c r="F8" i="32"/>
  <c r="G8" i="32"/>
  <c r="C8" i="32"/>
  <c r="C6" i="32"/>
  <c r="D6" i="32"/>
  <c r="E6" i="32"/>
  <c r="F6" i="32"/>
  <c r="G6" i="32"/>
  <c r="C7" i="32"/>
  <c r="D7" i="32"/>
  <c r="E7" i="32"/>
  <c r="F7" i="32"/>
  <c r="G7" i="32"/>
  <c r="B7" i="32"/>
  <c r="B6" i="32"/>
  <c r="D8" i="31"/>
  <c r="E8" i="31"/>
  <c r="F8" i="31"/>
  <c r="G8" i="31"/>
  <c r="C8" i="31"/>
  <c r="C6" i="31"/>
  <c r="D6" i="31"/>
  <c r="E6" i="31"/>
  <c r="F6" i="31"/>
  <c r="G6" i="31"/>
  <c r="C7" i="31"/>
  <c r="D7" i="31"/>
  <c r="E7" i="31"/>
  <c r="F7" i="31"/>
  <c r="G7" i="31"/>
  <c r="B7" i="31"/>
  <c r="B6" i="31"/>
  <c r="D8" i="30"/>
  <c r="E8" i="30"/>
  <c r="F8" i="30"/>
  <c r="G8" i="30"/>
  <c r="C8" i="30"/>
  <c r="C6" i="30"/>
  <c r="D6" i="30"/>
  <c r="E6" i="30"/>
  <c r="F6" i="30"/>
  <c r="G6" i="30"/>
  <c r="C7" i="30"/>
  <c r="D7" i="30"/>
  <c r="E7" i="30"/>
  <c r="F7" i="30"/>
  <c r="G7" i="30"/>
  <c r="B7" i="30"/>
  <c r="B6" i="30"/>
  <c r="D8" i="29"/>
  <c r="E8" i="29"/>
  <c r="F8" i="29"/>
  <c r="G8" i="29"/>
  <c r="C8" i="29"/>
  <c r="C6" i="29"/>
  <c r="D6" i="29"/>
  <c r="E6" i="29"/>
  <c r="F6" i="29"/>
  <c r="G6" i="29"/>
  <c r="C7" i="29"/>
  <c r="D7" i="29"/>
  <c r="E7" i="29"/>
  <c r="F7" i="29"/>
  <c r="G7" i="29"/>
  <c r="B7" i="29"/>
  <c r="B6" i="29"/>
  <c r="D8" i="28"/>
  <c r="E8" i="28"/>
  <c r="F8" i="28"/>
  <c r="G8" i="28"/>
  <c r="C8" i="28"/>
  <c r="C6" i="28"/>
  <c r="D6" i="28"/>
  <c r="E6" i="28"/>
  <c r="F6" i="28"/>
  <c r="G6" i="28"/>
  <c r="C7" i="28"/>
  <c r="D7" i="28"/>
  <c r="E7" i="28"/>
  <c r="F7" i="28"/>
  <c r="G7" i="28"/>
  <c r="B7" i="28"/>
  <c r="B6" i="28"/>
  <c r="D8" i="27"/>
  <c r="E8" i="27"/>
  <c r="F8" i="27"/>
  <c r="G8" i="27"/>
  <c r="C8" i="27"/>
  <c r="C6" i="27"/>
  <c r="D6" i="27"/>
  <c r="E6" i="27"/>
  <c r="F6" i="27"/>
  <c r="G6" i="27"/>
  <c r="C7" i="27"/>
  <c r="D7" i="27"/>
  <c r="E7" i="27"/>
  <c r="F7" i="27"/>
  <c r="G7" i="27"/>
  <c r="B7" i="27"/>
  <c r="B6" i="27"/>
  <c r="D8" i="26"/>
  <c r="E8" i="26"/>
  <c r="F8" i="26"/>
  <c r="G8" i="26"/>
  <c r="C8" i="26"/>
  <c r="C6" i="26"/>
  <c r="D6" i="26"/>
  <c r="E6" i="26"/>
  <c r="F6" i="26"/>
  <c r="G6" i="26"/>
  <c r="C7" i="26"/>
  <c r="D7" i="26"/>
  <c r="E7" i="26"/>
  <c r="F7" i="26"/>
  <c r="G7" i="26"/>
  <c r="B7" i="26"/>
  <c r="B6" i="26"/>
  <c r="D8" i="25"/>
  <c r="E8" i="25"/>
  <c r="F8" i="25"/>
  <c r="G8" i="25"/>
  <c r="C8" i="25"/>
  <c r="C6" i="25"/>
  <c r="D6" i="25"/>
  <c r="E6" i="25"/>
  <c r="F6" i="25"/>
  <c r="G6" i="25"/>
  <c r="C7" i="25"/>
  <c r="D7" i="25"/>
  <c r="E7" i="25"/>
  <c r="F7" i="25"/>
  <c r="G7" i="25"/>
  <c r="B7" i="25"/>
  <c r="B6" i="25"/>
  <c r="D8" i="24"/>
  <c r="E8" i="24"/>
  <c r="F8" i="24"/>
  <c r="G8" i="24"/>
  <c r="C8" i="24"/>
  <c r="C6" i="24"/>
  <c r="D6" i="24"/>
  <c r="E6" i="24"/>
  <c r="F6" i="24"/>
  <c r="G6" i="24"/>
  <c r="C7" i="24"/>
  <c r="D7" i="24"/>
  <c r="E7" i="24"/>
  <c r="F7" i="24"/>
  <c r="G7" i="24"/>
  <c r="B7" i="24"/>
  <c r="B6" i="24"/>
  <c r="D8" i="23"/>
  <c r="E8" i="23"/>
  <c r="F8" i="23"/>
  <c r="G8" i="23"/>
  <c r="C8" i="23"/>
  <c r="C6" i="23"/>
  <c r="D6" i="23"/>
  <c r="E6" i="23"/>
  <c r="F6" i="23"/>
  <c r="G6" i="23"/>
  <c r="B6" i="23"/>
  <c r="D8" i="22"/>
  <c r="E8" i="22"/>
  <c r="F8" i="22"/>
  <c r="G8" i="22"/>
  <c r="C8" i="22"/>
  <c r="C6" i="22"/>
  <c r="D6" i="22"/>
  <c r="E6" i="22"/>
  <c r="F6" i="22"/>
  <c r="G6" i="22"/>
  <c r="C7" i="22"/>
  <c r="D7" i="22"/>
  <c r="E7" i="22"/>
  <c r="F7" i="22"/>
  <c r="G7" i="22"/>
  <c r="B7" i="22"/>
  <c r="B6" i="22"/>
  <c r="D8" i="21"/>
  <c r="E8" i="21"/>
  <c r="F8" i="21"/>
  <c r="G8" i="21"/>
  <c r="C8" i="21"/>
  <c r="C6" i="21"/>
  <c r="D6" i="21"/>
  <c r="E6" i="21"/>
  <c r="F6" i="21"/>
  <c r="G6" i="21"/>
  <c r="C7" i="21"/>
  <c r="D7" i="21"/>
  <c r="E7" i="21"/>
  <c r="F7" i="21"/>
  <c r="G7" i="21"/>
  <c r="B7" i="21"/>
  <c r="B6" i="21"/>
  <c r="D8" i="20"/>
  <c r="E8" i="20"/>
  <c r="F8" i="20"/>
  <c r="G8" i="20"/>
  <c r="C8" i="20"/>
  <c r="C6" i="20"/>
  <c r="D6" i="20"/>
  <c r="E6" i="20"/>
  <c r="F6" i="20"/>
  <c r="G6" i="20"/>
  <c r="C7" i="20"/>
  <c r="D7" i="20"/>
  <c r="E7" i="20"/>
  <c r="F7" i="20"/>
  <c r="G7" i="20"/>
  <c r="B7" i="20"/>
  <c r="B6" i="20"/>
  <c r="D9" i="19"/>
  <c r="E9" i="19"/>
  <c r="F9" i="19"/>
  <c r="G9" i="19"/>
  <c r="C9" i="19"/>
  <c r="C6" i="19"/>
  <c r="D6" i="19"/>
  <c r="E6" i="19"/>
  <c r="F6" i="19"/>
  <c r="G6" i="19"/>
  <c r="C7" i="19"/>
  <c r="D7" i="19"/>
  <c r="E7" i="19"/>
  <c r="F7" i="19"/>
  <c r="G7" i="19"/>
  <c r="C8" i="19"/>
  <c r="D8" i="19"/>
  <c r="E8" i="19"/>
  <c r="F8" i="19"/>
  <c r="G8" i="19"/>
  <c r="B8" i="19"/>
  <c r="B7" i="19"/>
  <c r="B6" i="19"/>
  <c r="D8" i="18"/>
  <c r="E8" i="18"/>
  <c r="F8" i="18"/>
  <c r="G8" i="18"/>
  <c r="C8" i="18"/>
  <c r="C6" i="18"/>
  <c r="D6" i="18"/>
  <c r="E6" i="18"/>
  <c r="F6" i="18"/>
  <c r="G6" i="18"/>
  <c r="C7" i="18"/>
  <c r="D7" i="18"/>
  <c r="E7" i="18"/>
  <c r="F7" i="18"/>
  <c r="G7" i="18"/>
  <c r="B7" i="18"/>
  <c r="B6" i="18"/>
  <c r="D8" i="17"/>
  <c r="E8" i="17"/>
  <c r="F8" i="17"/>
  <c r="G8" i="17"/>
  <c r="C8" i="17"/>
  <c r="C6" i="17"/>
  <c r="D6" i="17"/>
  <c r="E6" i="17"/>
  <c r="F6" i="17"/>
  <c r="G6" i="17"/>
  <c r="C7" i="17"/>
  <c r="D7" i="17"/>
  <c r="E7" i="17"/>
  <c r="F7" i="17"/>
  <c r="G7" i="17"/>
  <c r="B7" i="17"/>
  <c r="B6" i="17"/>
  <c r="D8" i="16"/>
  <c r="E8" i="16"/>
  <c r="F8" i="16"/>
  <c r="G8" i="16"/>
  <c r="C8" i="16"/>
  <c r="C6" i="16"/>
  <c r="D6" i="16"/>
  <c r="E6" i="16"/>
  <c r="F6" i="16"/>
  <c r="G6" i="16"/>
  <c r="C7" i="16"/>
  <c r="D7" i="16"/>
  <c r="E7" i="16"/>
  <c r="F7" i="16"/>
  <c r="G7" i="16"/>
  <c r="B7" i="16"/>
  <c r="B6" i="16"/>
  <c r="D9" i="15"/>
  <c r="E9" i="15"/>
  <c r="F9" i="15"/>
  <c r="G9" i="15"/>
  <c r="C9" i="15"/>
  <c r="C6" i="15"/>
  <c r="D6" i="15"/>
  <c r="E6" i="15"/>
  <c r="F6" i="15"/>
  <c r="G6" i="15"/>
  <c r="C7" i="15"/>
  <c r="D7" i="15"/>
  <c r="E7" i="15"/>
  <c r="F7" i="15"/>
  <c r="G7" i="15"/>
  <c r="C8" i="15"/>
  <c r="D8" i="15"/>
  <c r="E8" i="15"/>
  <c r="F8" i="15"/>
  <c r="G8" i="15"/>
  <c r="B8" i="15"/>
  <c r="B7" i="15"/>
  <c r="B6" i="15"/>
  <c r="D8" i="14"/>
  <c r="E8" i="14"/>
  <c r="F8" i="14"/>
  <c r="G8" i="14"/>
  <c r="C8" i="14"/>
  <c r="C6" i="14"/>
  <c r="D6" i="14"/>
  <c r="E6" i="14"/>
  <c r="F6" i="14"/>
  <c r="G6" i="14"/>
  <c r="C7" i="14"/>
  <c r="D7" i="14"/>
  <c r="E7" i="14"/>
  <c r="F7" i="14"/>
  <c r="G7" i="14"/>
  <c r="B7" i="14"/>
  <c r="B6" i="14"/>
  <c r="D8" i="13"/>
  <c r="E8" i="13"/>
  <c r="F8" i="13"/>
  <c r="G8" i="13"/>
  <c r="C8" i="13"/>
  <c r="C6" i="13"/>
  <c r="D6" i="13"/>
  <c r="E6" i="13"/>
  <c r="F6" i="13"/>
  <c r="G6" i="13"/>
  <c r="C7" i="13"/>
  <c r="D7" i="13"/>
  <c r="E7" i="13"/>
  <c r="F7" i="13"/>
  <c r="G7" i="13"/>
  <c r="B7" i="13"/>
  <c r="B6" i="13"/>
  <c r="D8" i="12"/>
  <c r="E8" i="12"/>
  <c r="F8" i="12"/>
  <c r="G8" i="12"/>
  <c r="C8" i="12"/>
  <c r="C6" i="12"/>
  <c r="D6" i="12"/>
  <c r="E6" i="12"/>
  <c r="F6" i="12"/>
  <c r="G6" i="12"/>
  <c r="C7" i="12"/>
  <c r="D7" i="12"/>
  <c r="E7" i="12"/>
  <c r="F7" i="12"/>
  <c r="G7" i="12"/>
  <c r="B7" i="12"/>
  <c r="B6" i="12"/>
  <c r="D9" i="11"/>
  <c r="E9" i="11"/>
  <c r="F9" i="11"/>
  <c r="G9" i="11"/>
  <c r="C9" i="11"/>
  <c r="D8" i="11"/>
  <c r="E8" i="11"/>
  <c r="F8" i="11"/>
  <c r="G8" i="11"/>
  <c r="C8" i="11"/>
  <c r="C6" i="11"/>
  <c r="D6" i="11"/>
  <c r="E6" i="11"/>
  <c r="F6" i="11"/>
  <c r="G6" i="11"/>
  <c r="C7" i="11"/>
  <c r="D7" i="11"/>
  <c r="E7" i="11"/>
  <c r="F7" i="11"/>
  <c r="G7" i="11"/>
  <c r="B7" i="11"/>
  <c r="B6" i="11"/>
  <c r="D12" i="10"/>
  <c r="E12" i="10"/>
  <c r="F12" i="10"/>
  <c r="G12" i="10"/>
  <c r="C12" i="10"/>
  <c r="D11" i="10"/>
  <c r="E11" i="10"/>
  <c r="F11" i="10"/>
  <c r="G11" i="10"/>
  <c r="C11" i="10"/>
  <c r="C9" i="10"/>
  <c r="D9" i="10"/>
  <c r="E9" i="10"/>
  <c r="F9" i="10"/>
  <c r="G9" i="10"/>
  <c r="C10" i="10"/>
  <c r="D10" i="10"/>
  <c r="E10" i="10"/>
  <c r="F10" i="10"/>
  <c r="G10" i="10"/>
  <c r="B10" i="10"/>
  <c r="B9" i="10"/>
  <c r="D8" i="10"/>
  <c r="E8" i="10"/>
  <c r="F8" i="10"/>
  <c r="G8" i="10"/>
  <c r="C8" i="10"/>
  <c r="C6" i="10"/>
  <c r="D6" i="10"/>
  <c r="E6" i="10"/>
  <c r="F6" i="10"/>
  <c r="G6" i="10"/>
  <c r="C7" i="10"/>
  <c r="D7" i="10"/>
  <c r="E7" i="10"/>
  <c r="F7" i="10"/>
  <c r="G7" i="10"/>
  <c r="B7" i="10"/>
  <c r="B6" i="10"/>
  <c r="D8" i="9"/>
  <c r="E8" i="9"/>
  <c r="F8" i="9"/>
  <c r="G8" i="9"/>
  <c r="C8" i="9"/>
  <c r="C6" i="9"/>
  <c r="D6" i="9"/>
  <c r="E6" i="9"/>
  <c r="F6" i="9"/>
  <c r="G6" i="9"/>
  <c r="C7" i="9"/>
  <c r="D7" i="9"/>
  <c r="E7" i="9"/>
  <c r="F7" i="9"/>
  <c r="G7" i="9"/>
  <c r="B7" i="9"/>
  <c r="B6" i="9"/>
  <c r="D8" i="8"/>
  <c r="E8" i="8"/>
  <c r="F8" i="8"/>
  <c r="G8" i="8"/>
  <c r="C8" i="8"/>
  <c r="C6" i="8"/>
  <c r="D6" i="8"/>
  <c r="E6" i="8"/>
  <c r="F6" i="8"/>
  <c r="G6" i="8"/>
  <c r="C7" i="8"/>
  <c r="D7" i="8"/>
  <c r="E7" i="8"/>
  <c r="F7" i="8"/>
  <c r="G7" i="8"/>
  <c r="B7" i="8"/>
  <c r="B6" i="8"/>
  <c r="D8" i="7"/>
  <c r="E8" i="7"/>
  <c r="F8" i="7"/>
  <c r="G8" i="7"/>
  <c r="C8" i="7"/>
  <c r="C6" i="7"/>
  <c r="D6" i="7"/>
  <c r="E6" i="7"/>
  <c r="F6" i="7"/>
  <c r="G6" i="7"/>
  <c r="C7" i="7"/>
  <c r="D7" i="7"/>
  <c r="E7" i="7"/>
  <c r="F7" i="7"/>
  <c r="G7" i="7"/>
  <c r="B7" i="7"/>
  <c r="B6" i="7"/>
  <c r="D157" i="6"/>
  <c r="E157" i="6"/>
  <c r="F157" i="6"/>
  <c r="G157" i="6"/>
  <c r="C157" i="6"/>
  <c r="D156" i="6"/>
  <c r="E156" i="6"/>
  <c r="F156" i="6"/>
  <c r="G156" i="6"/>
  <c r="C156" i="6"/>
  <c r="C154" i="6"/>
  <c r="D154" i="6"/>
  <c r="E154" i="6"/>
  <c r="F154" i="6"/>
  <c r="G154" i="6"/>
  <c r="C155" i="6"/>
  <c r="D155" i="6"/>
  <c r="E155" i="6"/>
  <c r="F155" i="6"/>
  <c r="G155" i="6"/>
  <c r="B155" i="6"/>
  <c r="B154" i="6"/>
  <c r="D153" i="6"/>
  <c r="E153" i="6"/>
  <c r="F153" i="6"/>
  <c r="G153" i="6"/>
  <c r="C153" i="6"/>
  <c r="D152" i="6"/>
  <c r="E152" i="6"/>
  <c r="F152" i="6"/>
  <c r="G152" i="6"/>
  <c r="C152" i="6"/>
  <c r="C150" i="6"/>
  <c r="D150" i="6"/>
  <c r="E150" i="6"/>
  <c r="F150" i="6"/>
  <c r="G150" i="6"/>
  <c r="C151" i="6"/>
  <c r="D151" i="6"/>
  <c r="E151" i="6"/>
  <c r="F151" i="6"/>
  <c r="G151" i="6"/>
  <c r="B151" i="6"/>
  <c r="B150" i="6"/>
  <c r="D149" i="6"/>
  <c r="E149" i="6"/>
  <c r="F149" i="6"/>
  <c r="G149" i="6"/>
  <c r="C149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D144" i="6"/>
  <c r="E144" i="6"/>
  <c r="F144" i="6"/>
  <c r="G144" i="6"/>
  <c r="C144" i="6"/>
  <c r="D143" i="6"/>
  <c r="E143" i="6"/>
  <c r="F143" i="6"/>
  <c r="G143" i="6"/>
  <c r="C143" i="6"/>
  <c r="C141" i="6"/>
  <c r="D141" i="6"/>
  <c r="E141" i="6"/>
  <c r="F141" i="6"/>
  <c r="G141" i="6"/>
  <c r="C142" i="6"/>
  <c r="D142" i="6"/>
  <c r="E142" i="6"/>
  <c r="F142" i="6"/>
  <c r="G142" i="6"/>
  <c r="B142" i="6"/>
  <c r="B141" i="6"/>
  <c r="D140" i="6"/>
  <c r="E140" i="6"/>
  <c r="F140" i="6"/>
  <c r="G140" i="6"/>
  <c r="C140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D135" i="6"/>
  <c r="E135" i="6"/>
  <c r="F135" i="6"/>
  <c r="G135" i="6"/>
  <c r="C135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D130" i="6"/>
  <c r="E130" i="6"/>
  <c r="F130" i="6"/>
  <c r="G130" i="6"/>
  <c r="C130" i="6"/>
  <c r="C128" i="6"/>
  <c r="D128" i="6"/>
  <c r="E128" i="6"/>
  <c r="F128" i="6"/>
  <c r="G128" i="6"/>
  <c r="C129" i="6"/>
  <c r="D129" i="6"/>
  <c r="E129" i="6"/>
  <c r="F129" i="6"/>
  <c r="G129" i="6"/>
  <c r="B129" i="6"/>
  <c r="B128" i="6"/>
  <c r="D125" i="6"/>
  <c r="E125" i="6"/>
  <c r="F125" i="6"/>
  <c r="G125" i="6"/>
  <c r="C125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D120" i="6"/>
  <c r="E120" i="6"/>
  <c r="F120" i="6"/>
  <c r="G120" i="6"/>
  <c r="C120" i="6"/>
  <c r="C118" i="6"/>
  <c r="D118" i="6"/>
  <c r="E118" i="6"/>
  <c r="F118" i="6"/>
  <c r="G118" i="6"/>
  <c r="C119" i="6"/>
  <c r="D119" i="6"/>
  <c r="E119" i="6"/>
  <c r="F119" i="6"/>
  <c r="G119" i="6"/>
  <c r="B119" i="6"/>
  <c r="B118" i="6"/>
  <c r="D115" i="6"/>
  <c r="E115" i="6"/>
  <c r="F115" i="6"/>
  <c r="G115" i="6"/>
  <c r="C115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D110" i="6"/>
  <c r="E110" i="6"/>
  <c r="F110" i="6"/>
  <c r="G110" i="6"/>
  <c r="C110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D105" i="6"/>
  <c r="E105" i="6"/>
  <c r="F105" i="6"/>
  <c r="G105" i="6"/>
  <c r="C105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D100" i="6"/>
  <c r="E100" i="6"/>
  <c r="F100" i="6"/>
  <c r="G100" i="6"/>
  <c r="C100" i="6"/>
  <c r="C98" i="6"/>
  <c r="D98" i="6"/>
  <c r="E98" i="6"/>
  <c r="F98" i="6"/>
  <c r="G98" i="6"/>
  <c r="C99" i="6"/>
  <c r="D99" i="6"/>
  <c r="E99" i="6"/>
  <c r="F99" i="6"/>
  <c r="G99" i="6"/>
  <c r="B99" i="6"/>
  <c r="B98" i="6"/>
  <c r="D95" i="6"/>
  <c r="E95" i="6"/>
  <c r="F95" i="6"/>
  <c r="G95" i="6"/>
  <c r="C95" i="6"/>
  <c r="C93" i="6"/>
  <c r="D93" i="6"/>
  <c r="E93" i="6"/>
  <c r="F93" i="6"/>
  <c r="G93" i="6"/>
  <c r="B93" i="6"/>
  <c r="D90" i="6"/>
  <c r="E90" i="6"/>
  <c r="F90" i="6"/>
  <c r="G90" i="6"/>
  <c r="C90" i="6"/>
  <c r="C88" i="6"/>
  <c r="D88" i="6"/>
  <c r="E88" i="6"/>
  <c r="F88" i="6"/>
  <c r="G88" i="6"/>
  <c r="C89" i="6"/>
  <c r="D89" i="6"/>
  <c r="E89" i="6"/>
  <c r="F89" i="6"/>
  <c r="G89" i="6"/>
  <c r="B89" i="6"/>
  <c r="B88" i="6"/>
  <c r="D85" i="6"/>
  <c r="E85" i="6"/>
  <c r="F85" i="6"/>
  <c r="G85" i="6"/>
  <c r="C85" i="6"/>
  <c r="C83" i="6"/>
  <c r="D83" i="6"/>
  <c r="E83" i="6"/>
  <c r="F83" i="6"/>
  <c r="G83" i="6"/>
  <c r="C84" i="6"/>
  <c r="D84" i="6"/>
  <c r="E84" i="6"/>
  <c r="F84" i="6"/>
  <c r="G84" i="6"/>
  <c r="B84" i="6"/>
  <c r="B83" i="6"/>
  <c r="D80" i="6"/>
  <c r="E80" i="6"/>
  <c r="F80" i="6"/>
  <c r="G80" i="6"/>
  <c r="C80" i="6"/>
  <c r="C78" i="6"/>
  <c r="D78" i="6"/>
  <c r="E78" i="6"/>
  <c r="F78" i="6"/>
  <c r="G78" i="6"/>
  <c r="C79" i="6"/>
  <c r="D79" i="6"/>
  <c r="E79" i="6"/>
  <c r="F79" i="6"/>
  <c r="G79" i="6"/>
  <c r="B79" i="6"/>
  <c r="B78" i="6"/>
  <c r="D75" i="6"/>
  <c r="E75" i="6"/>
  <c r="F75" i="6"/>
  <c r="G75" i="6"/>
  <c r="C75" i="6"/>
  <c r="C72" i="6"/>
  <c r="D72" i="6"/>
  <c r="E72" i="6"/>
  <c r="F72" i="6"/>
  <c r="G72" i="6"/>
  <c r="C73" i="6"/>
  <c r="D73" i="6"/>
  <c r="E73" i="6"/>
  <c r="F73" i="6"/>
  <c r="G73" i="6"/>
  <c r="C74" i="6"/>
  <c r="D74" i="6"/>
  <c r="E74" i="6"/>
  <c r="F74" i="6"/>
  <c r="G74" i="6"/>
  <c r="B74" i="6"/>
  <c r="B73" i="6"/>
  <c r="B72" i="6"/>
  <c r="D69" i="6"/>
  <c r="E69" i="6"/>
  <c r="F69" i="6"/>
  <c r="G69" i="6"/>
  <c r="C69" i="6"/>
  <c r="C67" i="6"/>
  <c r="D67" i="6"/>
  <c r="E67" i="6"/>
  <c r="F67" i="6"/>
  <c r="G67" i="6"/>
  <c r="C68" i="6"/>
  <c r="D68" i="6"/>
  <c r="E68" i="6"/>
  <c r="F68" i="6"/>
  <c r="G68" i="6"/>
  <c r="B68" i="6"/>
  <c r="B67" i="6"/>
  <c r="D64" i="6"/>
  <c r="E64" i="6"/>
  <c r="F64" i="6"/>
  <c r="G64" i="6"/>
  <c r="C64" i="6"/>
  <c r="C62" i="6"/>
  <c r="D62" i="6"/>
  <c r="E62" i="6"/>
  <c r="F62" i="6"/>
  <c r="G62" i="6"/>
  <c r="C63" i="6"/>
  <c r="D63" i="6"/>
  <c r="E63" i="6"/>
  <c r="F63" i="6"/>
  <c r="G63" i="6"/>
  <c r="B63" i="6"/>
  <c r="B62" i="6"/>
  <c r="D59" i="6"/>
  <c r="E59" i="6"/>
  <c r="F59" i="6"/>
  <c r="G59" i="6"/>
  <c r="C59" i="6"/>
  <c r="C57" i="6"/>
  <c r="D57" i="6"/>
  <c r="E57" i="6"/>
  <c r="F57" i="6"/>
  <c r="G57" i="6"/>
  <c r="C58" i="6"/>
  <c r="D58" i="6"/>
  <c r="E58" i="6"/>
  <c r="F58" i="6"/>
  <c r="G58" i="6"/>
  <c r="B58" i="6"/>
  <c r="B57" i="6"/>
  <c r="D54" i="6"/>
  <c r="E54" i="6"/>
  <c r="F54" i="6"/>
  <c r="G54" i="6"/>
  <c r="C54" i="6"/>
  <c r="C51" i="6"/>
  <c r="D51" i="6"/>
  <c r="E51" i="6"/>
  <c r="F51" i="6"/>
  <c r="G51" i="6"/>
  <c r="C52" i="6"/>
  <c r="D52" i="6"/>
  <c r="E52" i="6"/>
  <c r="F52" i="6"/>
  <c r="G52" i="6"/>
  <c r="C53" i="6"/>
  <c r="D53" i="6"/>
  <c r="E53" i="6"/>
  <c r="F53" i="6"/>
  <c r="G53" i="6"/>
  <c r="B53" i="6"/>
  <c r="B52" i="6"/>
  <c r="B51" i="6"/>
  <c r="D48" i="6"/>
  <c r="E48" i="6"/>
  <c r="F48" i="6"/>
  <c r="G48" i="6"/>
  <c r="C48" i="6"/>
  <c r="C46" i="6"/>
  <c r="D46" i="6"/>
  <c r="E46" i="6"/>
  <c r="F46" i="6"/>
  <c r="G46" i="6"/>
  <c r="C47" i="6"/>
  <c r="D47" i="6"/>
  <c r="E47" i="6"/>
  <c r="F47" i="6"/>
  <c r="G47" i="6"/>
  <c r="B47" i="6"/>
  <c r="B46" i="6"/>
  <c r="D43" i="6"/>
  <c r="E43" i="6"/>
  <c r="F43" i="6"/>
  <c r="G43" i="6"/>
  <c r="C43" i="6"/>
  <c r="C41" i="6"/>
  <c r="D41" i="6"/>
  <c r="E41" i="6"/>
  <c r="F41" i="6"/>
  <c r="G41" i="6"/>
  <c r="C42" i="6"/>
  <c r="D42" i="6"/>
  <c r="E42" i="6"/>
  <c r="F42" i="6"/>
  <c r="G42" i="6"/>
  <c r="B42" i="6"/>
  <c r="B41" i="6"/>
  <c r="D38" i="6"/>
  <c r="E38" i="6"/>
  <c r="F38" i="6"/>
  <c r="G38" i="6"/>
  <c r="C38" i="6"/>
  <c r="C36" i="6"/>
  <c r="D36" i="6"/>
  <c r="E36" i="6"/>
  <c r="F36" i="6"/>
  <c r="G36" i="6"/>
  <c r="C37" i="6"/>
  <c r="D37" i="6"/>
  <c r="E37" i="6"/>
  <c r="F37" i="6"/>
  <c r="G37" i="6"/>
  <c r="B37" i="6"/>
  <c r="B36" i="6"/>
  <c r="D33" i="6"/>
  <c r="E33" i="6"/>
  <c r="F33" i="6"/>
  <c r="G33" i="6"/>
  <c r="C33" i="6"/>
  <c r="D32" i="6"/>
  <c r="E32" i="6"/>
  <c r="F32" i="6"/>
  <c r="G32" i="6"/>
  <c r="C32" i="6"/>
  <c r="C30" i="6"/>
  <c r="D30" i="6"/>
  <c r="E30" i="6"/>
  <c r="F30" i="6"/>
  <c r="G30" i="6"/>
  <c r="C31" i="6"/>
  <c r="D31" i="6"/>
  <c r="E31" i="6"/>
  <c r="F31" i="6"/>
  <c r="G31" i="6"/>
  <c r="B31" i="6"/>
  <c r="B30" i="6"/>
  <c r="D27" i="6"/>
  <c r="E27" i="6"/>
  <c r="F27" i="6"/>
  <c r="G27" i="6"/>
  <c r="C27" i="6"/>
  <c r="D26" i="6"/>
  <c r="E26" i="6"/>
  <c r="F26" i="6"/>
  <c r="G26" i="6"/>
  <c r="C26" i="6"/>
  <c r="C24" i="6"/>
  <c r="D24" i="6"/>
  <c r="E24" i="6"/>
  <c r="F24" i="6"/>
  <c r="G24" i="6"/>
  <c r="C25" i="6"/>
  <c r="D25" i="6"/>
  <c r="E25" i="6"/>
  <c r="F25" i="6"/>
  <c r="G25" i="6"/>
  <c r="B25" i="6"/>
  <c r="B24" i="6"/>
  <c r="D23" i="6"/>
  <c r="E23" i="6"/>
  <c r="F23" i="6"/>
  <c r="G23" i="6"/>
  <c r="C23" i="6"/>
  <c r="C21" i="6"/>
  <c r="D21" i="6"/>
  <c r="E21" i="6"/>
  <c r="F21" i="6"/>
  <c r="G21" i="6"/>
  <c r="C22" i="6"/>
  <c r="D22" i="6"/>
  <c r="E22" i="6"/>
  <c r="F22" i="6"/>
  <c r="G22" i="6"/>
  <c r="B22" i="6"/>
  <c r="B21" i="6"/>
  <c r="D18" i="6"/>
  <c r="E18" i="6"/>
  <c r="F18" i="6"/>
  <c r="G18" i="6"/>
  <c r="C18" i="6"/>
  <c r="C16" i="6"/>
  <c r="D16" i="6"/>
  <c r="E16" i="6"/>
  <c r="F16" i="6"/>
  <c r="G16" i="6"/>
  <c r="C17" i="6"/>
  <c r="D17" i="6"/>
  <c r="E17" i="6"/>
  <c r="F17" i="6"/>
  <c r="G17" i="6"/>
  <c r="B17" i="6"/>
  <c r="B16" i="6"/>
  <c r="D13" i="6"/>
  <c r="E13" i="6"/>
  <c r="F13" i="6"/>
  <c r="G13" i="6"/>
  <c r="C13" i="6"/>
  <c r="C11" i="6"/>
  <c r="D11" i="6"/>
  <c r="E11" i="6"/>
  <c r="F11" i="6"/>
  <c r="G11" i="6"/>
  <c r="C12" i="6"/>
  <c r="D12" i="6"/>
  <c r="E12" i="6"/>
  <c r="F12" i="6"/>
  <c r="G12" i="6"/>
  <c r="B12" i="6"/>
  <c r="B11" i="6"/>
  <c r="D8" i="6"/>
  <c r="E8" i="6"/>
  <c r="F8" i="6"/>
  <c r="G8" i="6"/>
  <c r="C8" i="6"/>
  <c r="C6" i="6"/>
  <c r="D6" i="6"/>
  <c r="E6" i="6"/>
  <c r="F6" i="6"/>
  <c r="G6" i="6"/>
  <c r="C7" i="6"/>
  <c r="D7" i="6"/>
  <c r="E7" i="6"/>
  <c r="F7" i="6"/>
  <c r="G7" i="6"/>
  <c r="B7" i="6"/>
  <c r="B6" i="6"/>
  <c r="E8" i="4"/>
  <c r="F8" i="4" s="1"/>
  <c r="D8" i="4"/>
  <c r="F25" i="4"/>
  <c r="G25" i="4"/>
  <c r="E25" i="4"/>
  <c r="D25" i="4"/>
  <c r="E48" i="5"/>
  <c r="F48" i="5"/>
  <c r="G48" i="5"/>
  <c r="E47" i="5"/>
  <c r="F47" i="5"/>
  <c r="G47" i="5"/>
  <c r="D47" i="5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5" i="5"/>
  <c r="F35" i="5"/>
  <c r="G35" i="5"/>
  <c r="E34" i="5"/>
  <c r="F34" i="5"/>
  <c r="G34" i="5"/>
  <c r="D34" i="5"/>
  <c r="E33" i="5"/>
  <c r="F33" i="5"/>
  <c r="G33" i="5"/>
  <c r="D33" i="5"/>
  <c r="D35" i="5" s="1"/>
  <c r="D48" i="5" s="1"/>
  <c r="D38" i="4" s="1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7" i="5"/>
  <c r="F27" i="5"/>
  <c r="G27" i="5"/>
  <c r="D27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10" i="5"/>
  <c r="F10" i="5"/>
  <c r="G10" i="5"/>
  <c r="D10" i="5"/>
  <c r="E9" i="5"/>
  <c r="F9" i="5"/>
  <c r="G9" i="5"/>
  <c r="D9" i="5"/>
  <c r="E8" i="5"/>
  <c r="F8" i="5"/>
  <c r="G8" i="5"/>
  <c r="D8" i="5"/>
  <c r="E7" i="5"/>
  <c r="F7" i="5"/>
  <c r="G7" i="5"/>
  <c r="D7" i="5"/>
  <c r="E5" i="5"/>
  <c r="F5" i="5"/>
  <c r="G5" i="5"/>
  <c r="D5" i="5"/>
  <c r="D26" i="4"/>
  <c r="D30" i="4" s="1"/>
  <c r="E26" i="4"/>
  <c r="E30" i="4" s="1"/>
  <c r="F26" i="4"/>
  <c r="F30" i="4" s="1"/>
  <c r="G26" i="4"/>
  <c r="G30" i="4" s="1"/>
  <c r="D19" i="4"/>
  <c r="E19" i="4"/>
  <c r="F19" i="4"/>
  <c r="G19" i="4"/>
  <c r="D13" i="4"/>
  <c r="E13" i="4"/>
  <c r="F13" i="4"/>
  <c r="G13" i="4"/>
  <c r="D9" i="4"/>
  <c r="D21" i="4" s="1"/>
  <c r="E9" i="4"/>
  <c r="E21" i="4" s="1"/>
  <c r="D7" i="4"/>
  <c r="E7" i="4"/>
  <c r="F7" i="4"/>
  <c r="G7" i="4"/>
  <c r="C40" i="4"/>
  <c r="C39" i="4"/>
  <c r="C30" i="4"/>
  <c r="C26" i="4"/>
  <c r="C19" i="4"/>
  <c r="C13" i="4"/>
  <c r="C7" i="4"/>
  <c r="C9" i="4" s="1"/>
  <c r="C21" i="4" s="1"/>
  <c r="D35" i="3"/>
  <c r="E35" i="3"/>
  <c r="F35" i="3"/>
  <c r="G35" i="3"/>
  <c r="C35" i="3"/>
  <c r="D30" i="3"/>
  <c r="E30" i="3"/>
  <c r="F30" i="3"/>
  <c r="G30" i="3"/>
  <c r="D27" i="3"/>
  <c r="E27" i="3"/>
  <c r="F27" i="3"/>
  <c r="G27" i="3"/>
  <c r="D25" i="3"/>
  <c r="E25" i="3"/>
  <c r="F25" i="3"/>
  <c r="G25" i="3"/>
  <c r="D23" i="3"/>
  <c r="E23" i="3"/>
  <c r="F23" i="3"/>
  <c r="G23" i="3"/>
  <c r="D21" i="3"/>
  <c r="E21" i="3"/>
  <c r="F21" i="3"/>
  <c r="G21" i="3"/>
  <c r="D19" i="3"/>
  <c r="E19" i="3"/>
  <c r="F19" i="3"/>
  <c r="G19" i="3"/>
  <c r="D17" i="3"/>
  <c r="E17" i="3"/>
  <c r="F17" i="3"/>
  <c r="G17" i="3"/>
  <c r="D16" i="3"/>
  <c r="E16" i="3"/>
  <c r="F16" i="3"/>
  <c r="G16" i="3"/>
  <c r="D15" i="3"/>
  <c r="E15" i="3"/>
  <c r="F15" i="3"/>
  <c r="G15" i="3"/>
  <c r="D10" i="3"/>
  <c r="E10" i="3"/>
  <c r="F10" i="3"/>
  <c r="G10" i="3"/>
  <c r="D7" i="3"/>
  <c r="E7" i="3"/>
  <c r="F7" i="3"/>
  <c r="G7" i="3"/>
  <c r="C30" i="3"/>
  <c r="C27" i="3"/>
  <c r="C25" i="3"/>
  <c r="C23" i="3"/>
  <c r="C21" i="3"/>
  <c r="C19" i="3"/>
  <c r="C17" i="3"/>
  <c r="C16" i="3"/>
  <c r="C15" i="3"/>
  <c r="C10" i="3"/>
  <c r="C7" i="3"/>
  <c r="E38" i="4" l="1"/>
  <c r="D39" i="4"/>
  <c r="D40" i="4"/>
  <c r="F9" i="4"/>
  <c r="F21" i="4" s="1"/>
  <c r="G8" i="4"/>
  <c r="G9" i="4" s="1"/>
  <c r="G21" i="4" s="1"/>
  <c r="F38" i="4" l="1"/>
  <c r="E39" i="4"/>
  <c r="E40" i="4" s="1"/>
  <c r="F39" i="4" l="1"/>
  <c r="F40" i="4" s="1"/>
  <c r="G38" i="4"/>
  <c r="G39" i="4" s="1"/>
  <c r="G40" i="4" s="1"/>
</calcChain>
</file>

<file path=xl/sharedStrings.xml><?xml version="1.0" encoding="utf-8"?>
<sst xmlns="http://schemas.openxmlformats.org/spreadsheetml/2006/main" count="490" uniqueCount="203">
  <si>
    <t>Balance Sheet of GAIL India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</si>
  <si>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</si>
  <si>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</si>
  <si>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</si>
  <si>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</si>
  <si>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</si>
  <si>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</si>
  <si>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</si>
  <si>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</si>
  <si>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</si>
  <si>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</si>
  <si>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</si>
  <si>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</si>
  <si>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</si>
  <si>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</si>
  <si>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</si>
  <si>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</si>
  <si>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</si>
  <si>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</si>
  <si>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</si>
  <si>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</si>
  <si>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</si>
  <si>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</si>
  <si>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</si>
  <si>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</si>
  <si>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</si>
  <si>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</si>
  <si>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</si>
  <si>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</si>
  <si>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</si>
  <si>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</si>
  <si>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</si>
  <si>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</si>
  <si>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</si>
  <si>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</si>
  <si>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</si>
  <si>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</si>
  <si>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</si>
  <si>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</si>
  <si>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</si>
  <si>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</si>
  <si>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</si>
  <si>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</si>
  <si>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</si>
  <si>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</si>
  <si>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</si>
  <si>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</si>
  <si>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</si>
  <si>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</si>
  <si>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</si>
  <si>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</si>
  <si>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</si>
  <si>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</si>
  <si>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</si>
  <si>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</si>
  <si>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GAIL India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</si>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</sst>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8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</fonts>
  <fills count="6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1">
    <xf numFmtId="0" fontId="0" fillId="0" borderId="0"/>
  </cellStyleXfs>
  <cellXfs count="29">
    <xf numFmtId="0" fontId="0" fillId="0" borderId="0" xfId="0"/>
    <xf numFmtId="16" fontId="0" fillId="0" borderId="0" xfId="0" applyNumberFormat="1"/>
    <xf numFmtId="4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3" fillId="5" borderId="0" xfId="0" applyFont="1" applyFill="1" applyAlignment="1">
      <alignment horizontal="center" vertical="center"/>
    </xf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0" fontId="7" fillId="0" borderId="0" xfId="0" applyNumberFormat="1" applyFont="1"/>
    <xf numFmtId="164" fontId="7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6C0-4342-8E6E-1FE1FB3B7B4D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6C0-4342-8E6E-1FE1FB3B7B4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'Earning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'Earning  Per Share'!$C$8:$G$8</c:f>
              <c:numCache>
                <c:formatCode>General</c:formatCode>
                <c:ptCount val="5"/>
                <c:pt idx="0">
                  <c:v>21</c:v>
                </c:pt>
                <c:pt idx="1">
                  <c:v>29</c:v>
                </c:pt>
                <c:pt idx="2">
                  <c:v>21</c:v>
                </c:pt>
                <c:pt idx="3">
                  <c:v>14</c:v>
                </c:pt>
                <c:pt idx="4">
                  <c:v>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6C0-4342-8E6E-1FE1FB3B7B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817536"/>
        <c:axId val="553815240"/>
      </c:lineChart>
      <c:catAx>
        <c:axId val="553817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5240"/>
        <c:crosses val="autoZero"/>
        <c:auto val="0"/>
        <c:lblAlgn val="ctr"/>
        <c:lblOffset val="100"/>
        <c:noMultiLvlLbl val="0"/>
      </c:catAx>
      <c:valAx>
        <c:axId val="5538152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8175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641-41FB-9665-0C3F7191A0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Equity'!$C$3:$G$3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Equity'!$C$8:$G$8</c:f>
              <c:numCache>
                <c:formatCode>0.00%</c:formatCode>
                <c:ptCount val="5"/>
                <c:pt idx="0">
                  <c:v>0.49</c:v>
                </c:pt>
                <c:pt idx="1">
                  <c:v>0.3</c:v>
                </c:pt>
                <c:pt idx="2">
                  <c:v>0.19</c:v>
                </c:pt>
                <c:pt idx="3">
                  <c:v>0.11</c:v>
                </c:pt>
                <c:pt idx="4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641-41FB-9665-0C3F7191A0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842464"/>
        <c:axId val="447841480"/>
      </c:lineChart>
      <c:catAx>
        <c:axId val="44784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841480"/>
        <c:crosses val="autoZero"/>
        <c:auto val="0"/>
        <c:lblAlgn val="ctr"/>
        <c:lblOffset val="100"/>
        <c:noMultiLvlLbl val="0"/>
      </c:catAx>
      <c:valAx>
        <c:axId val="4478414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78424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 Equity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 Equity Ratio'!$C$8:$G$8</c:f>
              <c:numCache>
                <c:formatCode>General</c:formatCode>
                <c:ptCount val="5"/>
                <c:pt idx="0">
                  <c:v>0.17</c:v>
                </c:pt>
                <c:pt idx="1">
                  <c:v>0.09</c:v>
                </c:pt>
                <c:pt idx="2">
                  <c:v>7.0000000000000007E-2</c:v>
                </c:pt>
                <c:pt idx="3">
                  <c:v>0.05</c:v>
                </c:pt>
                <c:pt idx="4">
                  <c:v>0.04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6C6-4049-8185-4A3837298B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2857048"/>
        <c:axId val="442856392"/>
      </c:lineChart>
      <c:catAx>
        <c:axId val="442857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2856392"/>
        <c:crosses val="autoZero"/>
        <c:auto val="0"/>
        <c:lblAlgn val="ctr"/>
        <c:lblOffset val="100"/>
        <c:noMultiLvlLbl val="0"/>
      </c:catAx>
      <c:valAx>
        <c:axId val="4428563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28570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01E-41D0-9D27-75369A4472EF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01E-41D0-9D27-75369A4472EF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01E-41D0-9D27-75369A4472EF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B01E-41D0-9D27-75369A4472E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'Current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'Current Ratio'!$C$8:$G$8</c:f>
              <c:numCache>
                <c:formatCode>General</c:formatCode>
                <c:ptCount val="5"/>
                <c:pt idx="0">
                  <c:v>1.1599999999999999</c:v>
                </c:pt>
                <c:pt idx="1">
                  <c:v>5.0999999999999996</c:v>
                </c:pt>
                <c:pt idx="2">
                  <c:v>8.35</c:v>
                </c:pt>
                <c:pt idx="3">
                  <c:v>9.58</c:v>
                </c:pt>
                <c:pt idx="4">
                  <c:v>11.51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01E-41D0-9D27-75369A4472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2855408"/>
        <c:axId val="442855736"/>
      </c:lineChart>
      <c:catAx>
        <c:axId val="442855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2855736"/>
        <c:crosses val="autoZero"/>
        <c:auto val="0"/>
        <c:lblAlgn val="ctr"/>
        <c:lblOffset val="100"/>
        <c:noMultiLvlLbl val="0"/>
      </c:catAx>
      <c:valAx>
        <c:axId val="4428557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28554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60A-4F86-9B0D-415D4B8EE9DF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60A-4F86-9B0D-415D4B8EE9DF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860A-4F86-9B0D-415D4B8EE9DF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860A-4F86-9B0D-415D4B8EE9D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'Quick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'Quick Ratio'!$C$9:$G$9</c:f>
              <c:numCache>
                <c:formatCode>General</c:formatCode>
                <c:ptCount val="5"/>
                <c:pt idx="0">
                  <c:v>1</c:v>
                </c:pt>
                <c:pt idx="1">
                  <c:v>4.92</c:v>
                </c:pt>
                <c:pt idx="2">
                  <c:v>8.14</c:v>
                </c:pt>
                <c:pt idx="3">
                  <c:v>9.41</c:v>
                </c:pt>
                <c:pt idx="4">
                  <c:v>11.33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60A-4F86-9B0D-415D4B8EE9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42352"/>
        <c:axId val="548324120"/>
      </c:lineChart>
      <c:catAx>
        <c:axId val="54954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24120"/>
        <c:crosses val="autoZero"/>
        <c:auto val="0"/>
        <c:lblAlgn val="ctr"/>
        <c:lblOffset val="100"/>
        <c:noMultiLvlLbl val="0"/>
      </c:catAx>
      <c:valAx>
        <c:axId val="5483241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95423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411-4057-B43E-0FF35509BD6C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5411-4057-B43E-0FF35509BD6C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411-4057-B43E-0FF35509BD6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'Interest Coverage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'Interest Coverage Ratio'!$C$8:$G$8</c:f>
              <c:numCache>
                <c:formatCode>General</c:formatCode>
                <c:ptCount val="5"/>
                <c:pt idx="0">
                  <c:v>147.88999999999999</c:v>
                </c:pt>
                <c:pt idx="1">
                  <c:v>396.69</c:v>
                </c:pt>
                <c:pt idx="2">
                  <c:v>196.76</c:v>
                </c:pt>
                <c:pt idx="3">
                  <c:v>255.42</c:v>
                </c:pt>
                <c:pt idx="4">
                  <c:v>360.07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411-4057-B43E-0FF35509BD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6240"/>
        <c:axId val="553814256"/>
      </c:lineChart>
      <c:catAx>
        <c:axId val="553646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4256"/>
        <c:crosses val="autoZero"/>
        <c:auto val="0"/>
        <c:lblAlgn val="ctr"/>
        <c:lblOffset val="100"/>
        <c:noMultiLvlLbl val="0"/>
      </c:catAx>
      <c:valAx>
        <c:axId val="5538142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462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181-422C-8450-2A6E8BF36B21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F181-422C-8450-2A6E8BF36B2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'Material Consumed'!$C$3:$G$3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'Material Consumed'!$C$8:$G$8</c:f>
              <c:numCache>
                <c:formatCode>General</c:formatCode>
                <c:ptCount val="5"/>
                <c:pt idx="0">
                  <c:v>0.08</c:v>
                </c:pt>
                <c:pt idx="1">
                  <c:v>7.0000000000000007E-2</c:v>
                </c:pt>
                <c:pt idx="2">
                  <c:v>0.06</c:v>
                </c:pt>
                <c:pt idx="3">
                  <c:v>7.0000000000000007E-2</c:v>
                </c:pt>
                <c:pt idx="4">
                  <c:v>0.12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181-422C-8450-2A6E8BF36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13296"/>
        <c:axId val="553512312"/>
      </c:lineChart>
      <c:catAx>
        <c:axId val="55351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12312"/>
        <c:crosses val="autoZero"/>
        <c:auto val="0"/>
        <c:lblAlgn val="ctr"/>
        <c:lblOffset val="100"/>
        <c:noMultiLvlLbl val="0"/>
      </c:catAx>
      <c:valAx>
        <c:axId val="5535123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5132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B57-44DA-846A-FB42599D940D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B57-44DA-846A-FB42599D940D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B57-44DA-846A-FB42599D940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'Defensive Interval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'Defensive Interval Ratio'!$C$8:$G$8</c:f>
              <c:numCache>
                <c:formatCode>General</c:formatCode>
                <c:ptCount val="5"/>
                <c:pt idx="0">
                  <c:v>251.97</c:v>
                </c:pt>
                <c:pt idx="1">
                  <c:v>4051.88</c:v>
                </c:pt>
                <c:pt idx="2">
                  <c:v>9339.44</c:v>
                </c:pt>
                <c:pt idx="3">
                  <c:v>14357.91</c:v>
                </c:pt>
                <c:pt idx="4">
                  <c:v>7082.77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B57-44DA-846A-FB42599D94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7515128"/>
        <c:axId val="441530840"/>
      </c:lineChart>
      <c:catAx>
        <c:axId val="627515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1530840"/>
        <c:crosses val="autoZero"/>
        <c:auto val="0"/>
        <c:lblAlgn val="ctr"/>
        <c:lblOffset val="100"/>
        <c:noMultiLvlLbl val="0"/>
      </c:catAx>
      <c:valAx>
        <c:axId val="4415308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75151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2A5C-42ED-971C-536B82670BFE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A5C-42ED-971C-536B82670BFE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2A5C-42ED-971C-536B82670BFE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A5C-42ED-971C-536B82670BF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'Purchases Per Day'!$C$3:$G$3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'Purchases Per Day'!$C$8:$G$8</c:f>
              <c:numCache>
                <c:formatCode>General</c:formatCode>
                <c:ptCount val="5"/>
                <c:pt idx="0">
                  <c:v>2858.54</c:v>
                </c:pt>
                <c:pt idx="1">
                  <c:v>56391.39</c:v>
                </c:pt>
                <c:pt idx="2">
                  <c:v>112891.29</c:v>
                </c:pt>
                <c:pt idx="3">
                  <c:v>153644.59</c:v>
                </c:pt>
                <c:pt idx="4">
                  <c:v>215457.4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5C-42ED-971C-536B82670B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1530512"/>
        <c:axId val="441528216"/>
      </c:lineChart>
      <c:catAx>
        <c:axId val="441530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1528216"/>
        <c:crosses val="autoZero"/>
        <c:auto val="0"/>
        <c:lblAlgn val="ctr"/>
        <c:lblOffset val="100"/>
        <c:noMultiLvlLbl val="0"/>
      </c:catAx>
      <c:valAx>
        <c:axId val="4415282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153051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11F-4910-9EBA-FD8CD44A7B1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'Asset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'Asset TurnOver Ratio'!$C$8:$G$8</c:f>
              <c:numCache>
                <c:formatCode>General</c:formatCode>
                <c:ptCount val="5"/>
                <c:pt idx="0">
                  <c:v>0.89</c:v>
                </c:pt>
                <c:pt idx="1">
                  <c:v>0.62</c:v>
                </c:pt>
                <c:pt idx="2">
                  <c:v>0.4</c:v>
                </c:pt>
                <c:pt idx="3">
                  <c:v>0.25</c:v>
                </c:pt>
                <c:pt idx="4">
                  <c:v>0.31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11F-4910-9EBA-FD8CD44A7B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3632"/>
        <c:axId val="446750024"/>
      </c:lineChart>
      <c:catAx>
        <c:axId val="446753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0024"/>
        <c:crosses val="autoZero"/>
        <c:auto val="0"/>
        <c:lblAlgn val="ctr"/>
        <c:lblOffset val="100"/>
        <c:noMultiLvlLbl val="0"/>
      </c:catAx>
      <c:valAx>
        <c:axId val="4467500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5363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8D6-41B7-A3DC-63C9510D2B71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8D6-41B7-A3DC-63C9510D2B7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TurnOver Ratio'!$C$8:$G$8</c:f>
              <c:numCache>
                <c:formatCode>General</c:formatCode>
                <c:ptCount val="5"/>
                <c:pt idx="0">
                  <c:v>28.23</c:v>
                </c:pt>
                <c:pt idx="1">
                  <c:v>30.33</c:v>
                </c:pt>
                <c:pt idx="2">
                  <c:v>22.75</c:v>
                </c:pt>
                <c:pt idx="3">
                  <c:v>19.13</c:v>
                </c:pt>
                <c:pt idx="4">
                  <c:v>25.97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8D6-41B7-A3DC-63C9510D2B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4944"/>
        <c:axId val="446752976"/>
      </c:lineChart>
      <c:catAx>
        <c:axId val="446754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2976"/>
        <c:crosses val="autoZero"/>
        <c:auto val="0"/>
        <c:lblAlgn val="ctr"/>
        <c:lblOffset val="100"/>
        <c:noMultiLvlLbl val="0"/>
      </c:catAx>
      <c:valAx>
        <c:axId val="4467529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5494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8A5-4ECF-96E5-EE6D2E9E5CF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'Equity Dividend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'Equity Dividend Per Share'!$C$8:$G$8</c:f>
              <c:numCache>
                <c:formatCode>General</c:formatCode>
                <c:ptCount val="5"/>
                <c:pt idx="0">
                  <c:v>1.07</c:v>
                </c:pt>
                <c:pt idx="1">
                  <c:v>0.84</c:v>
                </c:pt>
                <c:pt idx="2">
                  <c:v>1.1599999999999999</c:v>
                </c:pt>
                <c:pt idx="3">
                  <c:v>0.71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8A5-4ECF-96E5-EE6D2E9E5C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815896"/>
        <c:axId val="553594608"/>
      </c:lineChart>
      <c:catAx>
        <c:axId val="553815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4608"/>
        <c:crosses val="autoZero"/>
        <c:auto val="0"/>
        <c:lblAlgn val="ctr"/>
        <c:lblOffset val="100"/>
        <c:noMultiLvlLbl val="0"/>
      </c:catAx>
      <c:valAx>
        <c:axId val="5535946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8158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6C6-45C8-BDEB-5BC1FC6D4639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6C6-45C8-BDEB-5BC1FC6D463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'Debtors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'Debtors TurnOver Ratio'!$C$8:$G$8</c:f>
              <c:numCache>
                <c:formatCode>General</c:formatCode>
                <c:ptCount val="5"/>
                <c:pt idx="0">
                  <c:v>15.91</c:v>
                </c:pt>
                <c:pt idx="1">
                  <c:v>17.399999999999999</c:v>
                </c:pt>
                <c:pt idx="2">
                  <c:v>15.03</c:v>
                </c:pt>
                <c:pt idx="3">
                  <c:v>16.34</c:v>
                </c:pt>
                <c:pt idx="4">
                  <c:v>12.47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6C6-45C8-BDEB-5BC1FC6D46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640512"/>
        <c:axId val="446641168"/>
      </c:lineChart>
      <c:catAx>
        <c:axId val="446640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641168"/>
        <c:crosses val="autoZero"/>
        <c:auto val="0"/>
        <c:lblAlgn val="ctr"/>
        <c:lblOffset val="100"/>
        <c:noMultiLvlLbl val="0"/>
      </c:catAx>
      <c:valAx>
        <c:axId val="4466411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64051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A1E0-4F23-899F-F4F043E80C11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1E0-4F23-899F-F4F043E80C1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'Fixed Assets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'Fixed Assets TurnOver Ratio'!$C$8:$G$8</c:f>
              <c:numCache>
                <c:formatCode>General</c:formatCode>
                <c:ptCount val="5"/>
                <c:pt idx="0">
                  <c:v>1.85</c:v>
                </c:pt>
                <c:pt idx="1">
                  <c:v>2.4300000000000002</c:v>
                </c:pt>
                <c:pt idx="2">
                  <c:v>1.99</c:v>
                </c:pt>
                <c:pt idx="3">
                  <c:v>1.47</c:v>
                </c:pt>
                <c:pt idx="4">
                  <c:v>1.55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E0-4F23-899F-F4F043E80C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8880"/>
        <c:axId val="446759864"/>
      </c:lineChart>
      <c:catAx>
        <c:axId val="446758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9864"/>
        <c:crosses val="autoZero"/>
        <c:auto val="0"/>
        <c:lblAlgn val="ctr"/>
        <c:lblOffset val="100"/>
        <c:noMultiLvlLbl val="0"/>
      </c:catAx>
      <c:valAx>
        <c:axId val="4467598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588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2FF1-4D0C-8898-72AA800002CC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FF1-4D0C-8898-72AA800002C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TurnOver Ratio'!$C$8:$G$8</c:f>
              <c:numCache>
                <c:formatCode>General</c:formatCode>
                <c:ptCount val="5"/>
                <c:pt idx="0">
                  <c:v>0.33</c:v>
                </c:pt>
                <c:pt idx="1">
                  <c:v>0.37</c:v>
                </c:pt>
                <c:pt idx="2">
                  <c:v>0.28999999999999998</c:v>
                </c:pt>
                <c:pt idx="3">
                  <c:v>0.23</c:v>
                </c:pt>
                <c:pt idx="4">
                  <c:v>0.55000000000000004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FF1-4D0C-8898-72AA800002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6610944"/>
        <c:axId val="546608648"/>
      </c:lineChart>
      <c:catAx>
        <c:axId val="54661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608648"/>
        <c:crosses val="autoZero"/>
        <c:auto val="0"/>
        <c:lblAlgn val="ctr"/>
        <c:lblOffset val="100"/>
        <c:noMultiLvlLbl val="0"/>
      </c:catAx>
      <c:valAx>
        <c:axId val="5466086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661094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946D-4706-A0ED-0A682440F779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46D-4706-A0ED-0A682440F77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Days'!$C$8:$G$8</c:f>
              <c:numCache>
                <c:formatCode>General</c:formatCode>
                <c:ptCount val="5"/>
                <c:pt idx="0">
                  <c:v>12.93</c:v>
                </c:pt>
                <c:pt idx="1">
                  <c:v>12.03</c:v>
                </c:pt>
                <c:pt idx="2">
                  <c:v>16.04</c:v>
                </c:pt>
                <c:pt idx="3">
                  <c:v>19.079999999999998</c:v>
                </c:pt>
                <c:pt idx="4">
                  <c:v>14.06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6D-4706-A0ED-0A682440F7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11984"/>
        <c:axId val="442857704"/>
      </c:lineChart>
      <c:catAx>
        <c:axId val="553511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2857704"/>
        <c:crosses val="autoZero"/>
        <c:auto val="0"/>
        <c:lblAlgn val="ctr"/>
        <c:lblOffset val="100"/>
        <c:noMultiLvlLbl val="0"/>
      </c:catAx>
      <c:valAx>
        <c:axId val="4428577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5119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3F91-42B5-B865-CAEED7C2CA8C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F91-42B5-B865-CAEED7C2CA8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Days'!$C$8:$G$8</c:f>
              <c:numCache>
                <c:formatCode>General</c:formatCode>
                <c:ptCount val="5"/>
                <c:pt idx="0">
                  <c:v>1100.1600000000001</c:v>
                </c:pt>
                <c:pt idx="1">
                  <c:v>989.9</c:v>
                </c:pt>
                <c:pt idx="2">
                  <c:v>1256.01</c:v>
                </c:pt>
                <c:pt idx="3">
                  <c:v>1612.59</c:v>
                </c:pt>
                <c:pt idx="4">
                  <c:v>664.84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F91-42B5-B865-CAEED7C2CA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643464"/>
        <c:axId val="446639856"/>
      </c:lineChart>
      <c:catAx>
        <c:axId val="446643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639856"/>
        <c:crosses val="autoZero"/>
        <c:auto val="0"/>
        <c:lblAlgn val="ctr"/>
        <c:lblOffset val="100"/>
        <c:noMultiLvlLbl val="0"/>
      </c:catAx>
      <c:valAx>
        <c:axId val="4466398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6434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018B-4A93-A25E-7A190284BB1D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18B-4A93-A25E-7A190284BB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'Receivable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'Receivable Days'!$C$8:$G$8</c:f>
              <c:numCache>
                <c:formatCode>General</c:formatCode>
                <c:ptCount val="5"/>
                <c:pt idx="0">
                  <c:v>22.94</c:v>
                </c:pt>
                <c:pt idx="1">
                  <c:v>20.98</c:v>
                </c:pt>
                <c:pt idx="2">
                  <c:v>24.28</c:v>
                </c:pt>
                <c:pt idx="3">
                  <c:v>22.34</c:v>
                </c:pt>
                <c:pt idx="4">
                  <c:v>29.27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18B-4A93-A25E-7A190284BB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40384"/>
        <c:axId val="361708992"/>
      </c:lineChart>
      <c:catAx>
        <c:axId val="549540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1708992"/>
        <c:crosses val="autoZero"/>
        <c:auto val="0"/>
        <c:lblAlgn val="ctr"/>
        <c:lblOffset val="100"/>
        <c:noMultiLvlLbl val="0"/>
      </c:catAx>
      <c:valAx>
        <c:axId val="3617089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95403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5099-41A4-9BF8-80B1929D5664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099-41A4-9BF8-80B1929D566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'Operating Cycle'!$C$3:$G$3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'Operating Cycle'!$C$12:$G$12</c:f>
              <c:numCache>
                <c:formatCode>.00</c:formatCode>
                <c:ptCount val="5"/>
                <c:pt idx="0">
                  <c:v>1113.0899999999999</c:v>
                </c:pt>
                <c:pt idx="1">
                  <c:v>1001.93</c:v>
                </c:pt>
                <c:pt idx="2">
                  <c:v>1272.05</c:v>
                </c:pt>
                <c:pt idx="3">
                  <c:v>1631.67</c:v>
                </c:pt>
                <c:pt idx="4">
                  <c:v>678.9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99-41A4-9BF8-80B1929D56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1708664"/>
        <c:axId val="361707024"/>
      </c:lineChart>
      <c:catAx>
        <c:axId val="361708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1707024"/>
        <c:crosses val="autoZero"/>
        <c:auto val="0"/>
        <c:lblAlgn val="ctr"/>
        <c:lblOffset val="100"/>
        <c:noMultiLvlLbl val="0"/>
      </c:catAx>
      <c:valAx>
        <c:axId val="3617070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3617086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2606-40E4-9100-917F4683A32F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606-40E4-9100-917F4683A32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'Cash Conversion Cycle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'Cash Conversion Cycle Days'!$C$16:$G$16</c:f>
              <c:numCache>
                <c:formatCode>.00</c:formatCode>
                <c:ptCount val="5"/>
                <c:pt idx="0">
                  <c:v>-12.93</c:v>
                </c:pt>
                <c:pt idx="1">
                  <c:v>-12.03</c:v>
                </c:pt>
                <c:pt idx="2">
                  <c:v>-16.04</c:v>
                </c:pt>
                <c:pt idx="3">
                  <c:v>-19.079999999999998</c:v>
                </c:pt>
                <c:pt idx="4">
                  <c:v>-14.06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06-40E4-9100-917F4683A3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3918840"/>
        <c:axId val="633919496"/>
      </c:lineChart>
      <c:catAx>
        <c:axId val="633918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3919496"/>
        <c:crosses val="autoZero"/>
        <c:auto val="0"/>
        <c:lblAlgn val="ctr"/>
        <c:lblOffset val="100"/>
        <c:noMultiLvlLbl val="0"/>
      </c:catAx>
      <c:valAx>
        <c:axId val="6339194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6339188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41678.57</c:v>
                </c:pt>
                <c:pt idx="1">
                  <c:v>99303.750000000029</c:v>
                </c:pt>
                <c:pt idx="2">
                  <c:v>157162.57</c:v>
                </c:pt>
                <c:pt idx="3">
                  <c:v>198881.67</c:v>
                </c:pt>
                <c:pt idx="4">
                  <c:v>268426.86000000004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0A-47B7-A96E-98D4144C1C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1079176"/>
        <c:axId val="551078192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61334.139999999992</c:v>
                </c:pt>
                <c:pt idx="1">
                  <c:v>121707.05000000003</c:v>
                </c:pt>
                <c:pt idx="2">
                  <c:v>182808.50000000003</c:v>
                </c:pt>
                <c:pt idx="3">
                  <c:v>227084.29</c:v>
                </c:pt>
                <c:pt idx="4">
                  <c:v>300871.98000000004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30A-47B7-A96E-98D4144C1C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1079176"/>
        <c:axId val="551078192"/>
      </c:lineChart>
      <c:catAx>
        <c:axId val="551079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078192"/>
        <c:crosses val="autoZero"/>
        <c:auto val="1"/>
        <c:lblAlgn val="ctr"/>
        <c:lblOffset val="100"/>
        <c:noMultiLvlLbl val="0"/>
      </c:catAx>
      <c:valAx>
        <c:axId val="5510781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07917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45140.639999999999</c:v>
                </c:pt>
                <c:pt idx="1">
                  <c:v>64820.05000000001</c:v>
                </c:pt>
                <c:pt idx="2">
                  <c:v>62868.159999999989</c:v>
                </c:pt>
                <c:pt idx="3">
                  <c:v>47963.15</c:v>
                </c:pt>
                <c:pt idx="4">
                  <c:v>75327.73000000001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646-4F49-8AF1-CC3F54E1A1E2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43613.75</c:v>
                </c:pt>
                <c:pt idx="1">
                  <c:v>63153.410000000011</c:v>
                </c:pt>
                <c:pt idx="2">
                  <c:v>60787.999999999985</c:v>
                </c:pt>
                <c:pt idx="3">
                  <c:v>45789.33</c:v>
                </c:pt>
                <c:pt idx="4">
                  <c:v>72907.560000000012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646-4F49-8AF1-CC3F54E1A1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6760848"/>
        <c:axId val="446761176"/>
      </c:barChart>
      <c:catAx>
        <c:axId val="446760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61176"/>
        <c:crosses val="autoZero"/>
        <c:auto val="1"/>
        <c:lblAlgn val="ctr"/>
        <c:lblOffset val="100"/>
        <c:noMultiLvlLbl val="0"/>
      </c:catAx>
      <c:valAx>
        <c:axId val="4467611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6084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119-4813-8E8F-5623AEF334AA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C119-4813-8E8F-5623AEF334AA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119-4813-8E8F-5623AEF334AA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C119-4813-8E8F-5623AEF334A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'Book Value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'Book Value  Per Share'!$C$8:$G$8</c:f>
              <c:numCache>
                <c:formatCode>General</c:formatCode>
                <c:ptCount val="5"/>
                <c:pt idx="0">
                  <c:v>21.25</c:v>
                </c:pt>
                <c:pt idx="1">
                  <c:v>48.23</c:v>
                </c:pt>
                <c:pt idx="2">
                  <c:v>55.41</c:v>
                </c:pt>
                <c:pt idx="3">
                  <c:v>63.24</c:v>
                </c:pt>
                <c:pt idx="4">
                  <c:v>108.07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119-4813-8E8F-5623AEF33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953096"/>
        <c:axId val="559957032"/>
      </c:lineChart>
      <c:catAx>
        <c:axId val="559953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57032"/>
        <c:crosses val="autoZero"/>
        <c:auto val="0"/>
        <c:lblAlgn val="ctr"/>
        <c:lblOffset val="100"/>
        <c:noMultiLvlLbl val="0"/>
      </c:catAx>
      <c:valAx>
        <c:axId val="5599570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99530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14463.59</c:v>
                </c:pt>
                <c:pt idx="1">
                  <c:v>70310.190000000017</c:v>
                </c:pt>
                <c:pt idx="2">
                  <c:v>126766.42</c:v>
                </c:pt>
                <c:pt idx="3">
                  <c:v>165387.16999999998</c:v>
                </c:pt>
                <c:pt idx="4">
                  <c:v>232742.16000000003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DC-4DA6-85F3-348E5C5EEB44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12481.24</c:v>
                </c:pt>
                <c:pt idx="1">
                  <c:v>13776.74</c:v>
                </c:pt>
                <c:pt idx="2">
                  <c:v>15182.099999999999</c:v>
                </c:pt>
                <c:pt idx="3">
                  <c:v>17256.37</c:v>
                </c:pt>
                <c:pt idx="4">
                  <c:v>20224.45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CDC-4DA6-85F3-348E5C5EEB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4044400"/>
        <c:axId val="364045384"/>
      </c:barChart>
      <c:catAx>
        <c:axId val="364044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5384"/>
        <c:crosses val="autoZero"/>
        <c:auto val="1"/>
        <c:lblAlgn val="ctr"/>
        <c:lblOffset val="100"/>
        <c:noMultiLvlLbl val="0"/>
      </c:catAx>
      <c:valAx>
        <c:axId val="3640453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440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'Long And Short Term Provisions'!$C$4:$G$4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'Long And Short Term Provisions'!$C$5:$G$5</c:f>
              <c:numCache>
                <c:formatCode>.00</c:formatCode>
                <c:ptCount val="5"/>
                <c:pt idx="0">
                  <c:v>589.1</c:v>
                </c:pt>
                <c:pt idx="1">
                  <c:v>702.04</c:v>
                </c:pt>
                <c:pt idx="2">
                  <c:v>538.51</c:v>
                </c:pt>
                <c:pt idx="3">
                  <c:v>557.02</c:v>
                </c:pt>
                <c:pt idx="4">
                  <c:v>676.08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FDA-4816-927B-6FE2E2DCD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951680"/>
        <c:axId val="546949712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'Long And Short Term Provisions'!$C$6:$G$6</c:f>
              <c:numCache>
                <c:formatCode>.00</c:formatCode>
                <c:ptCount val="5"/>
                <c:pt idx="0">
                  <c:v>865.08</c:v>
                </c:pt>
                <c:pt idx="1">
                  <c:v>755.05</c:v>
                </c:pt>
                <c:pt idx="2">
                  <c:v>775.16</c:v>
                </c:pt>
                <c:pt idx="3">
                  <c:v>828.71</c:v>
                </c:pt>
                <c:pt idx="4">
                  <c:v>873.2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FDA-4816-927B-6FE2E2DCD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8590760"/>
        <c:axId val="546950368"/>
      </c:lineChart>
      <c:catAx>
        <c:axId val="54695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46949712"/>
        <c:crosses val="autoZero"/>
        <c:auto val="1"/>
        <c:lblAlgn val="ctr"/>
        <c:lblOffset val="100"/>
        <c:noMultiLvlLbl val="0"/>
      </c:catAx>
      <c:valAx>
        <c:axId val="5469497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951680"/>
        <c:crosses val="autoZero"/>
        <c:crossBetween val="between"/>
      </c:valAx>
      <c:valAx>
        <c:axId val="54695036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48590760"/>
        <c:crosses val="max"/>
        <c:crossBetween val="between"/>
      </c:valAx>
      <c:catAx>
        <c:axId val="548590760"/>
        <c:scaling>
          <c:orientation val="minMax"/>
        </c:scaling>
        <c:delete val="1"/>
        <c:axPos val="b"/>
        <c:majorTickMark val="out"/>
        <c:minorTickMark val="none"/>
        <c:tickLblPos val="nextTo"/>
        <c:crossAx val="546950368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4140.8999999999996</c:v>
                </c:pt>
                <c:pt idx="1">
                  <c:v>5079.83</c:v>
                </c:pt>
                <c:pt idx="2">
                  <c:v>4411.97</c:v>
                </c:pt>
                <c:pt idx="3">
                  <c:v>3905.88</c:v>
                </c:pt>
                <c:pt idx="4">
                  <c:v>11103.28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85-4EB0-B2F2-E81D15CEF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951784"/>
        <c:axId val="559958344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85-4EB0-B2F2-E81D15CEF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2629688"/>
        <c:axId val="632628376"/>
      </c:lineChart>
      <c:catAx>
        <c:axId val="559951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9958344"/>
        <c:crosses val="autoZero"/>
        <c:auto val="1"/>
        <c:lblAlgn val="ctr"/>
        <c:lblOffset val="100"/>
        <c:noMultiLvlLbl val="0"/>
      </c:catAx>
      <c:valAx>
        <c:axId val="5599583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51784"/>
        <c:crosses val="autoZero"/>
        <c:crossBetween val="between"/>
      </c:valAx>
      <c:valAx>
        <c:axId val="63262837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632629688"/>
        <c:crosses val="max"/>
        <c:crossBetween val="between"/>
      </c:valAx>
      <c:catAx>
        <c:axId val="632629688"/>
        <c:scaling>
          <c:orientation val="minMax"/>
        </c:scaling>
        <c:delete val="1"/>
        <c:axPos val="b"/>
        <c:majorTickMark val="out"/>
        <c:minorTickMark val="none"/>
        <c:tickLblPos val="nextTo"/>
        <c:crossAx val="632628376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Sales In Total Income'!$C$4:$G$4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Sales In Total Income'!$C$5:$G$5</c:f>
              <c:numCache>
                <c:formatCode>.00</c:formatCode>
                <c:ptCount val="5"/>
                <c:pt idx="0">
                  <c:v>54556.09</c:v>
                </c:pt>
                <c:pt idx="1">
                  <c:v>75912.02</c:v>
                </c:pt>
                <c:pt idx="2">
                  <c:v>72423.56</c:v>
                </c:pt>
                <c:pt idx="3">
                  <c:v>57208.12</c:v>
                </c:pt>
                <c:pt idx="4">
                  <c:v>92873.82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E9-4BE8-A8C2-4D58C8EE9AC4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'Gross Sales In Total Income'!$C$6:$G$6</c:f>
              <c:numCache>
                <c:formatCode>.00</c:formatCode>
                <c:ptCount val="5"/>
                <c:pt idx="0">
                  <c:v>55170.85</c:v>
                </c:pt>
                <c:pt idx="1">
                  <c:v>77082.010000000009</c:v>
                </c:pt>
                <c:pt idx="2">
                  <c:v>73901.429999999993</c:v>
                </c:pt>
                <c:pt idx="3">
                  <c:v>58271.97</c:v>
                </c:pt>
                <c:pt idx="4">
                  <c:v>93942.080000000002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E9-4BE8-A8C2-4D58C8EE9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0106896"/>
        <c:axId val="450106240"/>
      </c:barChart>
      <c:catAx>
        <c:axId val="45010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106240"/>
        <c:crosses val="autoZero"/>
        <c:auto val="1"/>
        <c:lblAlgn val="ctr"/>
        <c:lblOffset val="100"/>
        <c:noMultiLvlLbl val="0"/>
      </c:catAx>
      <c:valAx>
        <c:axId val="4501062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10689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61334.139999999992</c:v>
                </c:pt>
                <c:pt idx="1">
                  <c:v>121707.05000000003</c:v>
                </c:pt>
                <c:pt idx="2">
                  <c:v>182808.50000000003</c:v>
                </c:pt>
                <c:pt idx="3">
                  <c:v>227084.29</c:v>
                </c:pt>
                <c:pt idx="4">
                  <c:v>300871.98000000004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C6-4910-8B81-5C54EBF7AA71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7135.41</c:v>
                </c:pt>
                <c:pt idx="1">
                  <c:v>8580.61</c:v>
                </c:pt>
                <c:pt idx="2">
                  <c:v>10376.790000000001</c:v>
                </c:pt>
                <c:pt idx="3">
                  <c:v>10848.76</c:v>
                </c:pt>
                <c:pt idx="4">
                  <c:v>12029.49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C6-4910-8B81-5C54EBF7AA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3312648"/>
        <c:axId val="553314288"/>
      </c:barChart>
      <c:catAx>
        <c:axId val="553312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314288"/>
        <c:crosses val="autoZero"/>
        <c:auto val="1"/>
        <c:lblAlgn val="ctr"/>
        <c:lblOffset val="100"/>
        <c:noMultiLvlLbl val="0"/>
      </c:catAx>
      <c:valAx>
        <c:axId val="5533142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31264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61334.139999999992</c:v>
                </c:pt>
                <c:pt idx="1">
                  <c:v>121707.05000000003</c:v>
                </c:pt>
                <c:pt idx="2">
                  <c:v>182808.50000000003</c:v>
                </c:pt>
                <c:pt idx="3">
                  <c:v>227084.29</c:v>
                </c:pt>
                <c:pt idx="4">
                  <c:v>300871.98000000004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54-47D9-8576-2882EDA94E4B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12481.24</c:v>
                </c:pt>
                <c:pt idx="1">
                  <c:v>13776.74</c:v>
                </c:pt>
                <c:pt idx="2">
                  <c:v>15182.099999999999</c:v>
                </c:pt>
                <c:pt idx="3">
                  <c:v>17256.37</c:v>
                </c:pt>
                <c:pt idx="4">
                  <c:v>20224.45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754-47D9-8576-2882EDA94E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9885136"/>
        <c:axId val="549887432"/>
      </c:barChart>
      <c:catAx>
        <c:axId val="549885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9887432"/>
        <c:crosses val="autoZero"/>
        <c:auto val="1"/>
        <c:lblAlgn val="ctr"/>
        <c:lblOffset val="100"/>
        <c:noMultiLvlLbl val="0"/>
      </c:catAx>
      <c:valAx>
        <c:axId val="5498874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988513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61334.14</c:v>
                </c:pt>
                <c:pt idx="1">
                  <c:v>121707.05000000002</c:v>
                </c:pt>
                <c:pt idx="2">
                  <c:v>182808.5</c:v>
                </c:pt>
                <c:pt idx="3">
                  <c:v>227084.28999999998</c:v>
                </c:pt>
                <c:pt idx="4">
                  <c:v>300871.98000000004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E9-4F95-946F-604432DDFAE6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46870.55</c:v>
                </c:pt>
                <c:pt idx="1">
                  <c:v>51396.86</c:v>
                </c:pt>
                <c:pt idx="2">
                  <c:v>56042.080000000002</c:v>
                </c:pt>
                <c:pt idx="3">
                  <c:v>61697.12000000001</c:v>
                </c:pt>
                <c:pt idx="4">
                  <c:v>68129.820000000007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E9-4F95-946F-604432DDFA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4116256"/>
        <c:axId val="364112976"/>
      </c:barChart>
      <c:catAx>
        <c:axId val="36411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112976"/>
        <c:crosses val="autoZero"/>
        <c:auto val="1"/>
        <c:lblAlgn val="ctr"/>
        <c:lblOffset val="100"/>
        <c:noMultiLvlLbl val="0"/>
      </c:catAx>
      <c:valAx>
        <c:axId val="3641129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11625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61334.14</c:v>
                </c:pt>
                <c:pt idx="1">
                  <c:v>121707.05000000002</c:v>
                </c:pt>
                <c:pt idx="2">
                  <c:v>182808.5</c:v>
                </c:pt>
                <c:pt idx="3">
                  <c:v>227084.28999999998</c:v>
                </c:pt>
                <c:pt idx="4">
                  <c:v>300871.98000000004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5E9-46D2-86D2-FE9A07FD8DFC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14463.59</c:v>
                </c:pt>
                <c:pt idx="1">
                  <c:v>70310.190000000017</c:v>
                </c:pt>
                <c:pt idx="2">
                  <c:v>126766.42</c:v>
                </c:pt>
                <c:pt idx="3">
                  <c:v>165387.16999999998</c:v>
                </c:pt>
                <c:pt idx="4">
                  <c:v>232742.16000000003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5E9-46D2-86D2-FE9A07FD8D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8588792"/>
        <c:axId val="548590104"/>
      </c:barChart>
      <c:catAx>
        <c:axId val="548588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590104"/>
        <c:crosses val="autoZero"/>
        <c:auto val="1"/>
        <c:lblAlgn val="ctr"/>
        <c:lblOffset val="100"/>
        <c:noMultiLvlLbl val="0"/>
      </c:catAx>
      <c:valAx>
        <c:axId val="5485901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58879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10030.209999999999</c:v>
                </c:pt>
                <c:pt idx="1">
                  <c:v>12261.96</c:v>
                </c:pt>
                <c:pt idx="2">
                  <c:v>11033.27</c:v>
                </c:pt>
                <c:pt idx="3">
                  <c:v>10308.82</c:v>
                </c:pt>
                <c:pt idx="4">
                  <c:v>18614.349999999999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DA-4368-8227-7841D0C37C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7204328"/>
        <c:axId val="627201376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55170.85</c:v>
                </c:pt>
                <c:pt idx="1">
                  <c:v>77082.010000000009</c:v>
                </c:pt>
                <c:pt idx="2">
                  <c:v>73901.429999999993</c:v>
                </c:pt>
                <c:pt idx="3">
                  <c:v>58271.97</c:v>
                </c:pt>
                <c:pt idx="4">
                  <c:v>93942.080000000002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FDA-4368-8227-7841D0C37C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2163584"/>
        <c:axId val="627207608"/>
      </c:lineChart>
      <c:catAx>
        <c:axId val="627204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201376"/>
        <c:crosses val="autoZero"/>
        <c:auto val="1"/>
        <c:lblAlgn val="ctr"/>
        <c:lblOffset val="100"/>
        <c:noMultiLvlLbl val="0"/>
      </c:catAx>
      <c:valAx>
        <c:axId val="6272013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204328"/>
        <c:crosses val="autoZero"/>
        <c:crossBetween val="between"/>
      </c:valAx>
      <c:valAx>
        <c:axId val="62720760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2163584"/>
        <c:crosses val="max"/>
        <c:crossBetween val="between"/>
      </c:valAx>
      <c:catAx>
        <c:axId val="552163584"/>
        <c:scaling>
          <c:orientation val="minMax"/>
        </c:scaling>
        <c:delete val="1"/>
        <c:axPos val="b"/>
        <c:majorTickMark val="out"/>
        <c:minorTickMark val="none"/>
        <c:tickLblPos val="nextTo"/>
        <c:crossAx val="627207608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 CF To Balance Sheet'!$C$4:$G$4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 CF To Balance Sheet'!$C$5:$G$5</c:f>
              <c:numCache>
                <c:formatCode>.00</c:formatCode>
                <c:ptCount val="5"/>
                <c:pt idx="0">
                  <c:v>39089.129999999997</c:v>
                </c:pt>
                <c:pt idx="1">
                  <c:v>57625.180000000015</c:v>
                </c:pt>
                <c:pt idx="2">
                  <c:v>55603.749999999978</c:v>
                </c:pt>
                <c:pt idx="3">
                  <c:v>41788.850000000006</c:v>
                </c:pt>
                <c:pt idx="4">
                  <c:v>69545.190000000017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53-4D17-8869-5F694CBB6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0763344"/>
        <c:axId val="550763672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'Net Profit CF To Balance Sheet'!$C$6:$G$6</c:f>
              <c:numCache>
                <c:formatCode>.00</c:formatCode>
                <c:ptCount val="5"/>
                <c:pt idx="0">
                  <c:v>41195.99</c:v>
                </c:pt>
                <c:pt idx="1">
                  <c:v>59715.790000000015</c:v>
                </c:pt>
                <c:pt idx="2">
                  <c:v>59564.75999999998</c:v>
                </c:pt>
                <c:pt idx="3">
                  <c:v>44027.430000000008</c:v>
                </c:pt>
                <c:pt idx="4">
                  <c:v>69545.190000000017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B53-4D17-8869-5F694CBB61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0753832"/>
        <c:axId val="550759736"/>
      </c:lineChart>
      <c:catAx>
        <c:axId val="5507633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0763672"/>
        <c:crosses val="autoZero"/>
        <c:auto val="1"/>
        <c:lblAlgn val="ctr"/>
        <c:lblOffset val="100"/>
        <c:noMultiLvlLbl val="0"/>
      </c:catAx>
      <c:valAx>
        <c:axId val="5507636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0763344"/>
        <c:crosses val="autoZero"/>
        <c:crossBetween val="between"/>
      </c:valAx>
      <c:valAx>
        <c:axId val="55075973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0753832"/>
        <c:crosses val="max"/>
        <c:crossBetween val="between"/>
      </c:valAx>
      <c:catAx>
        <c:axId val="550753832"/>
        <c:scaling>
          <c:orientation val="minMax"/>
        </c:scaling>
        <c:delete val="1"/>
        <c:axPos val="b"/>
        <c:majorTickMark val="out"/>
        <c:minorTickMark val="none"/>
        <c:tickLblPos val="nextTo"/>
        <c:crossAx val="550759736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B1D-44F4-93C0-A0A6F131A4B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Pay Out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Pay Out Ratio'!$C$12:$G$12</c:f>
              <c:numCache>
                <c:formatCode>General</c:formatCode>
                <c:ptCount val="5"/>
                <c:pt idx="0">
                  <c:v>0.05</c:v>
                </c:pt>
                <c:pt idx="1">
                  <c:v>0.03</c:v>
                </c:pt>
                <c:pt idx="2">
                  <c:v>0.06</c:v>
                </c:pt>
                <c:pt idx="3">
                  <c:v>0.05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B1D-44F4-93C0-A0A6F131A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3296"/>
        <c:axId val="553596248"/>
      </c:lineChart>
      <c:catAx>
        <c:axId val="55359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6248"/>
        <c:crosses val="autoZero"/>
        <c:auto val="0"/>
        <c:lblAlgn val="ctr"/>
        <c:lblOffset val="100"/>
        <c:noMultiLvlLbl val="0"/>
      </c:catAx>
      <c:valAx>
        <c:axId val="5535962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5932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E2A-43B4-96AD-BDB5DF9F8C68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E2A-43B4-96AD-BDB5DF9F8C68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0E2A-43B4-96AD-BDB5DF9F8C6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Retention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Retention Ratio'!$C$9:$G$9</c:f>
              <c:numCache>
                <c:formatCode>0.00%</c:formatCode>
                <c:ptCount val="5"/>
                <c:pt idx="0">
                  <c:v>-7.0000000000000062E-2</c:v>
                </c:pt>
                <c:pt idx="1">
                  <c:v>0.16000000000000003</c:v>
                </c:pt>
                <c:pt idx="2">
                  <c:v>-0.15999999999999992</c:v>
                </c:pt>
                <c:pt idx="3">
                  <c:v>0.29000000000000004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E2A-43B4-96AD-BDB5DF9F8C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2962080"/>
        <c:axId val="442962736"/>
      </c:lineChart>
      <c:catAx>
        <c:axId val="44296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2962736"/>
        <c:crosses val="autoZero"/>
        <c:auto val="0"/>
        <c:lblAlgn val="ctr"/>
        <c:lblOffset val="100"/>
        <c:noMultiLvlLbl val="0"/>
      </c:catAx>
      <c:valAx>
        <c:axId val="4429627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29620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A2C-4146-A790-BCA689E3B969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CA2C-4146-A790-BCA689E3B96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Profit'!$C$8:$G$8</c:f>
              <c:numCache>
                <c:formatCode>.00</c:formatCode>
                <c:ptCount val="5"/>
                <c:pt idx="0">
                  <c:v>50415.19</c:v>
                </c:pt>
                <c:pt idx="1">
                  <c:v>70832.19</c:v>
                </c:pt>
                <c:pt idx="2">
                  <c:v>68011.59</c:v>
                </c:pt>
                <c:pt idx="3">
                  <c:v>53302.239999999998</c:v>
                </c:pt>
                <c:pt idx="4">
                  <c:v>81770.539999999994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A2C-4146-A790-BCA689E3B9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950472"/>
        <c:axId val="559954080"/>
      </c:lineChart>
      <c:catAx>
        <c:axId val="559950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54080"/>
        <c:crosses val="autoZero"/>
        <c:auto val="0"/>
        <c:lblAlgn val="ctr"/>
        <c:lblOffset val="100"/>
        <c:noMultiLvlLbl val="0"/>
      </c:catAx>
      <c:valAx>
        <c:axId val="5599540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995047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FDC-4F68-A6C1-6078166DB70C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FDC-4F68-A6C1-6078166DB70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Profit'!$C$8:$G$8</c:f>
              <c:numCache>
                <c:formatCode>.00</c:formatCode>
                <c:ptCount val="5"/>
                <c:pt idx="0">
                  <c:v>44525.88</c:v>
                </c:pt>
                <c:pt idx="1">
                  <c:v>63650.06</c:v>
                </c:pt>
                <c:pt idx="2">
                  <c:v>61390.29</c:v>
                </c:pt>
                <c:pt idx="3">
                  <c:v>46899.3</c:v>
                </c:pt>
                <c:pt idx="4">
                  <c:v>74259.47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FDC-4F68-A6C1-6078166DB7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8224"/>
        <c:axId val="446750352"/>
      </c:lineChart>
      <c:catAx>
        <c:axId val="446758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0352"/>
        <c:crosses val="autoZero"/>
        <c:auto val="0"/>
        <c:lblAlgn val="ctr"/>
        <c:lblOffset val="100"/>
        <c:noMultiLvlLbl val="0"/>
      </c:catAx>
      <c:valAx>
        <c:axId val="4467503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467582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1CB-4F60-B3F1-714276A2ED9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Assets'!$C$3:$G$3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Assets'!$C$8:$G$8</c:f>
              <c:numCache>
                <c:formatCode>0.00%</c:formatCode>
                <c:ptCount val="5"/>
                <c:pt idx="0">
                  <c:v>0.67</c:v>
                </c:pt>
                <c:pt idx="1">
                  <c:v>0.49</c:v>
                </c:pt>
                <c:pt idx="2">
                  <c:v>0.33</c:v>
                </c:pt>
                <c:pt idx="3">
                  <c:v>0.19</c:v>
                </c:pt>
                <c:pt idx="4">
                  <c:v>0.23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1CB-4F60-B3F1-714276A2ED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961624"/>
        <c:axId val="559963920"/>
      </c:lineChart>
      <c:catAx>
        <c:axId val="559961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63920"/>
        <c:crosses val="autoZero"/>
        <c:auto val="0"/>
        <c:lblAlgn val="ctr"/>
        <c:lblOffset val="100"/>
        <c:noMultiLvlLbl val="0"/>
      </c:catAx>
      <c:valAx>
        <c:axId val="5599639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599616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B86-49FF-AB4A-22315102697F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B86-49FF-AB4A-22315102697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Capital Employeed'!$C$3:$G$3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Capital Employeed'!$C$9:$G$9</c:f>
              <c:numCache>
                <c:formatCode>0.00%</c:formatCode>
                <c:ptCount val="5"/>
                <c:pt idx="0">
                  <c:v>3.06</c:v>
                </c:pt>
                <c:pt idx="1">
                  <c:v>3.68</c:v>
                </c:pt>
                <c:pt idx="2">
                  <c:v>2.93</c:v>
                </c:pt>
                <c:pt idx="3">
                  <c:v>2.11</c:v>
                </c:pt>
                <c:pt idx="4">
                  <c:v>3.03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B86-49FF-AB4A-2231510269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963592"/>
        <c:axId val="559959984"/>
      </c:lineChart>
      <c:catAx>
        <c:axId val="559963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59984"/>
        <c:crosses val="autoZero"/>
        <c:auto val="0"/>
        <c:lblAlgn val="ctr"/>
        <c:lblOffset val="100"/>
        <c:noMultiLvlLbl val="0"/>
      </c:catAx>
      <c:valAx>
        <c:axId val="5599599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5996359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6DF0A1-B5C1-B7F5-C268-DAE10B3874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2190775-08D7-147E-B88B-17DEB0945A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C20AF87-3F27-3A0F-E13F-85239BE3A7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E92ECA-7D75-1EBE-538C-7FA9F11272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4A4124A-F0DD-423D-0C74-DE3EA1F2BB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C755F0-46F3-6CDD-1BE5-01B4B6801E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2AF5ECC-3F01-C0FD-7883-4589727007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2ABE7C0-F6D5-09B6-9469-82D489875D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E4B5C0E-0373-D942-044F-CEFCC9C838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DC7E1CC-3DBB-A9DF-9E67-464B7A2ADD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81D9041-E61C-E371-D4A9-BB235C24F9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9C4AEF-B53A-628F-5B5A-9FB1D08026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DDC0F8E-E38A-D89D-311C-970009DC1C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7635BE-A667-FEA9-85E7-CEB28CA0C2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D6C52F-8B4D-F4EB-790D-487DA5E0B8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581437B-C956-AB01-26BD-4268D05CAF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4CAEF7-DB45-1DD1-E8CD-A6DF869322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FF8A36B-D19F-34AB-214C-CADD4906D2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B4B475-CC49-17EE-2DA5-B01B0688E5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F3F753-429B-8845-D80A-C712F08A62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726E7150-17EB-DE60-79EB-3B8051026C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0DB1C0F0-D6FE-B294-DE30-4A8D541B15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63C274-A31B-B207-65E9-67C2CA7C73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C8CBCD4E-00CD-1B07-581D-AEF646C891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6753B2B2-CF46-3FD4-4BC1-9342F60071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C89C2D28-79A3-4C0F-25AB-C7A1740F282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50822414-BB4B-2B88-F534-06B42F5388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A804BCC9-2D40-D962-0568-E9B87456F2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6E491B00-E7A2-83B4-E14D-B3E284D841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BE99ED46-7116-DBB5-274A-39AAF2F343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F7BF419F-5D50-1D86-2A11-5DF80B8F2D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61061C15-51D3-2A02-3460-C0D5ACC166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F36E1000-45AA-732A-7B49-E76E4A1CED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5F1334E-C5B9-518F-15C1-69A70E8C8D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A29E8A-081F-0FF3-1B3B-A4FA1DD156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CE970A-2055-8DC5-BB87-336AE3FC2D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9D95D6F-2DF3-9A4A-BBB4-EE9A4C49A4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40A9A1-C81A-B990-3F60-3489AF48BB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7427E4-0790-3F41-2F72-569EACFA2C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E5D9B-8D10-4BA1-871B-6ED9598E1CA3}">
  <dimension ref="A2:H55"/>
  <sheetViews>
    <sheetView topLeftCell="A45" workbookViewId="0">
      <selection activeCell="A55" sqref="A55"/>
    </sheetView>
  </sheetViews>
  <sheetFormatPr defaultRowHeight="15" x14ac:dyDescent="0.25"/>
  <sheetData>
    <row r="2" spans="1:8" x14ac:dyDescent="0.25">
      <c r="B2" s="3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3</v>
      </c>
      <c r="H4" t="s">
        <v>1</v>
      </c>
    </row>
    <row r="5" spans="1:8" x14ac:dyDescent="0.25">
      <c r="B5" t="s">
        <v>4</v>
      </c>
      <c r="H5" t="s">
        <v>1</v>
      </c>
    </row>
    <row r="6" spans="1:8" x14ac:dyDescent="0.25">
      <c r="A6" t="s">
        <v>5</v>
      </c>
      <c r="B6" t="s">
        <v>5</v>
      </c>
      <c r="C6" s="2">
        <v>2255.0700000000002</v>
      </c>
      <c r="D6" s="2">
        <v>2255.0700000000002</v>
      </c>
      <c r="E6" s="2">
        <v>4510.1400000000003</v>
      </c>
      <c r="F6" s="2">
        <v>4440.3900000000003</v>
      </c>
      <c r="G6" s="2">
        <v>4440.3900000000003</v>
      </c>
      <c r="H6" t="s">
        <v>1</v>
      </c>
    </row>
    <row r="7" spans="1:8" x14ac:dyDescent="0.25">
      <c r="B7" t="s">
        <v>6</v>
      </c>
      <c r="C7" s="2">
        <v>2255.0700000000002</v>
      </c>
      <c r="D7" s="2">
        <v>2255.0700000000002</v>
      </c>
      <c r="E7" s="2">
        <v>4510.1400000000003</v>
      </c>
      <c r="F7" s="2">
        <v>4440.3900000000003</v>
      </c>
      <c r="G7" s="2">
        <v>4440.3900000000003</v>
      </c>
      <c r="H7" t="s">
        <v>1</v>
      </c>
    </row>
    <row r="8" spans="1:8" x14ac:dyDescent="0.25">
      <c r="A8" t="s">
        <v>90</v>
      </c>
      <c r="B8" t="s">
        <v>7</v>
      </c>
      <c r="C8" s="2">
        <v>39423.5</v>
      </c>
      <c r="D8" s="2">
        <v>43749.03</v>
      </c>
      <c r="E8" s="2">
        <v>44758.11</v>
      </c>
      <c r="F8" s="2">
        <v>48741.95</v>
      </c>
      <c r="G8" s="2">
        <v>59673.89</v>
      </c>
      <c r="H8" t="s">
        <v>1</v>
      </c>
    </row>
    <row r="9" spans="1:8" x14ac:dyDescent="0.25">
      <c r="B9" t="s">
        <v>8</v>
      </c>
      <c r="C9" s="2">
        <v>39423.5</v>
      </c>
      <c r="D9" s="2">
        <v>43749.03</v>
      </c>
      <c r="E9" s="2">
        <v>44758.11</v>
      </c>
      <c r="F9" s="2">
        <v>48741.95</v>
      </c>
      <c r="G9" s="2">
        <v>59673.89</v>
      </c>
      <c r="H9" t="s">
        <v>1</v>
      </c>
    </row>
    <row r="10" spans="1:8" x14ac:dyDescent="0.25">
      <c r="B10" t="s">
        <v>9</v>
      </c>
      <c r="C10" s="2">
        <v>41678.57</v>
      </c>
      <c r="D10" s="2">
        <v>46004.1</v>
      </c>
      <c r="E10" s="2">
        <v>49268.25</v>
      </c>
      <c r="F10" s="2">
        <v>53182.34</v>
      </c>
      <c r="G10" s="2">
        <v>64114.28</v>
      </c>
      <c r="H10" t="s">
        <v>1</v>
      </c>
    </row>
    <row r="11" spans="1:8" x14ac:dyDescent="0.25">
      <c r="A11" t="s">
        <v>10</v>
      </c>
      <c r="B11" t="s">
        <v>10</v>
      </c>
      <c r="C11">
        <v>38.92</v>
      </c>
      <c r="D11">
        <v>45.95</v>
      </c>
      <c r="E11">
        <v>87.04</v>
      </c>
      <c r="F11">
        <v>97.49</v>
      </c>
      <c r="G11">
        <v>191.18</v>
      </c>
      <c r="H11" t="s">
        <v>1</v>
      </c>
    </row>
    <row r="12" spans="1:8" x14ac:dyDescent="0.25">
      <c r="B12" t="s">
        <v>11</v>
      </c>
      <c r="H12" t="s">
        <v>1</v>
      </c>
    </row>
    <row r="13" spans="1:8" x14ac:dyDescent="0.25">
      <c r="A13" t="s">
        <v>91</v>
      </c>
      <c r="B13" t="s">
        <v>12</v>
      </c>
      <c r="C13" s="2">
        <v>1118.6400000000001</v>
      </c>
      <c r="D13" s="2">
        <v>1027.83</v>
      </c>
      <c r="E13" s="2">
        <v>3773.4</v>
      </c>
      <c r="F13" s="2">
        <v>5237.3999999999996</v>
      </c>
      <c r="G13" s="2">
        <v>5468.06</v>
      </c>
      <c r="H13" t="s">
        <v>1</v>
      </c>
    </row>
    <row r="14" spans="1:8" x14ac:dyDescent="0.25">
      <c r="A14" t="s">
        <v>91</v>
      </c>
      <c r="B14" t="s">
        <v>13</v>
      </c>
      <c r="C14" s="2">
        <v>5039.1099999999997</v>
      </c>
      <c r="D14" s="2">
        <v>6509.88</v>
      </c>
      <c r="E14" s="2">
        <v>4039.19</v>
      </c>
      <c r="F14" s="2">
        <v>4088.46</v>
      </c>
      <c r="G14" s="2">
        <v>4199.17</v>
      </c>
      <c r="H14" t="s">
        <v>1</v>
      </c>
    </row>
    <row r="15" spans="1:8" x14ac:dyDescent="0.25">
      <c r="A15" t="s">
        <v>92</v>
      </c>
      <c r="B15" t="s">
        <v>14</v>
      </c>
      <c r="C15" s="2">
        <v>1683.5</v>
      </c>
      <c r="D15" s="2">
        <v>3457.58</v>
      </c>
      <c r="E15" s="2">
        <v>4731.6400000000003</v>
      </c>
      <c r="F15" s="2">
        <v>5669.92</v>
      </c>
      <c r="G15" s="2">
        <v>6817.9</v>
      </c>
      <c r="H15" t="s">
        <v>1</v>
      </c>
    </row>
    <row r="16" spans="1:8" x14ac:dyDescent="0.25">
      <c r="A16" t="s">
        <v>93</v>
      </c>
      <c r="B16" t="s">
        <v>15</v>
      </c>
      <c r="C16">
        <v>589.1</v>
      </c>
      <c r="D16">
        <v>702.04</v>
      </c>
      <c r="E16">
        <v>538.51</v>
      </c>
      <c r="F16">
        <v>557.02</v>
      </c>
      <c r="G16">
        <v>676.08</v>
      </c>
      <c r="H16" t="s">
        <v>1</v>
      </c>
    </row>
    <row r="17" spans="1:8" x14ac:dyDescent="0.25">
      <c r="B17" t="s">
        <v>16</v>
      </c>
      <c r="C17" s="2">
        <v>8430.35</v>
      </c>
      <c r="D17" s="2">
        <v>11697.33</v>
      </c>
      <c r="E17" s="2">
        <v>13082.74</v>
      </c>
      <c r="F17" s="2">
        <v>15552.8</v>
      </c>
      <c r="G17" s="2">
        <v>17161.21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 s="2">
        <v>977.66</v>
      </c>
      <c r="D19" s="2">
        <v>1042.9000000000001</v>
      </c>
      <c r="E19" s="2">
        <v>2564.1999999999998</v>
      </c>
      <c r="F19" s="2">
        <v>1522.9</v>
      </c>
      <c r="G19">
        <v>2362.2600000000002</v>
      </c>
      <c r="H19" t="s">
        <v>1</v>
      </c>
    </row>
    <row r="20" spans="1:8" x14ac:dyDescent="0.25">
      <c r="A20" t="s">
        <v>92</v>
      </c>
      <c r="B20" t="s">
        <v>19</v>
      </c>
      <c r="C20" s="2">
        <v>3903.89</v>
      </c>
      <c r="D20" s="2">
        <v>3876.07</v>
      </c>
      <c r="E20" s="2">
        <v>3922.18</v>
      </c>
      <c r="F20" s="2">
        <v>4453.18</v>
      </c>
      <c r="G20" s="2">
        <v>5361.26</v>
      </c>
      <c r="H20" t="s">
        <v>1</v>
      </c>
    </row>
    <row r="21" spans="1:8" x14ac:dyDescent="0.25">
      <c r="A21" t="s">
        <v>92</v>
      </c>
      <c r="B21" t="s">
        <v>20</v>
      </c>
      <c r="C21" s="2">
        <v>5439.67</v>
      </c>
      <c r="D21" s="2">
        <v>4986</v>
      </c>
      <c r="E21" s="2">
        <v>5214.6099999999997</v>
      </c>
      <c r="F21" s="2">
        <v>5747.54</v>
      </c>
      <c r="G21" s="2">
        <v>6496.01</v>
      </c>
      <c r="H21" t="s">
        <v>1</v>
      </c>
    </row>
    <row r="22" spans="1:8" x14ac:dyDescent="0.25">
      <c r="A22" t="s">
        <v>93</v>
      </c>
      <c r="B22" t="s">
        <v>21</v>
      </c>
      <c r="C22">
        <v>865.08</v>
      </c>
      <c r="D22">
        <v>755.05</v>
      </c>
      <c r="E22">
        <v>775.16</v>
      </c>
      <c r="F22">
        <v>828.71</v>
      </c>
      <c r="G22">
        <v>873.2</v>
      </c>
      <c r="H22" t="s">
        <v>1</v>
      </c>
    </row>
    <row r="23" spans="1:8" x14ac:dyDescent="0.25">
      <c r="B23" t="s">
        <v>22</v>
      </c>
      <c r="C23" s="2">
        <v>11186.3</v>
      </c>
      <c r="D23" s="2">
        <v>10660.02</v>
      </c>
      <c r="E23" s="2">
        <v>12476.15</v>
      </c>
      <c r="F23" s="2">
        <v>12552.33</v>
      </c>
      <c r="G23" s="2">
        <v>15092.73</v>
      </c>
      <c r="H23" t="s">
        <v>1</v>
      </c>
    </row>
    <row r="24" spans="1:8" x14ac:dyDescent="0.25">
      <c r="B24" t="s">
        <v>23</v>
      </c>
      <c r="C24" s="2">
        <v>61334.14</v>
      </c>
      <c r="D24" s="2">
        <v>68407.399999999994</v>
      </c>
      <c r="E24" s="2">
        <v>74914.179999999993</v>
      </c>
      <c r="F24" s="2">
        <v>81384.960000000006</v>
      </c>
      <c r="G24" s="2">
        <v>96559.4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 s="2">
        <v>29416.84</v>
      </c>
      <c r="D27" s="2">
        <v>31287.77</v>
      </c>
      <c r="E27" s="2">
        <v>36349.26</v>
      </c>
      <c r="F27" s="2">
        <v>38859.660000000003</v>
      </c>
      <c r="G27" s="2">
        <v>60062.46</v>
      </c>
      <c r="H27" t="s">
        <v>1</v>
      </c>
    </row>
    <row r="28" spans="1:8" x14ac:dyDescent="0.25">
      <c r="A28" t="s">
        <v>29</v>
      </c>
      <c r="B28" t="s">
        <v>27</v>
      </c>
      <c r="C28">
        <v>1063.45</v>
      </c>
      <c r="D28" s="2">
        <v>1412.51</v>
      </c>
      <c r="E28" s="2">
        <v>1880.36</v>
      </c>
      <c r="F28" s="2">
        <v>2300.6799999999998</v>
      </c>
      <c r="G28" s="2">
        <v>0</v>
      </c>
      <c r="H28" t="s">
        <v>1</v>
      </c>
    </row>
    <row r="29" spans="1:8" x14ac:dyDescent="0.25">
      <c r="A29" t="s">
        <v>28</v>
      </c>
      <c r="B29" t="s">
        <v>28</v>
      </c>
      <c r="C29">
        <v>5798.26</v>
      </c>
      <c r="D29" s="2">
        <v>9737.5</v>
      </c>
      <c r="E29" s="2">
        <v>11666.31</v>
      </c>
      <c r="F29" s="2">
        <v>13399.66</v>
      </c>
      <c r="G29" s="2">
        <v>0</v>
      </c>
      <c r="H29" t="s">
        <v>1</v>
      </c>
    </row>
    <row r="30" spans="1:8" x14ac:dyDescent="0.25">
      <c r="B30" t="s">
        <v>29</v>
      </c>
      <c r="C30" s="2">
        <v>36418.68</v>
      </c>
      <c r="D30" s="2">
        <v>42437.78</v>
      </c>
      <c r="E30" s="2">
        <v>49895.93</v>
      </c>
      <c r="F30" s="2">
        <v>54560</v>
      </c>
      <c r="G30" s="2">
        <v>60062.46</v>
      </c>
      <c r="H30" t="s">
        <v>1</v>
      </c>
    </row>
    <row r="31" spans="1:8" x14ac:dyDescent="0.25">
      <c r="A31" t="s">
        <v>94</v>
      </c>
      <c r="B31" t="s">
        <v>30</v>
      </c>
      <c r="C31" s="2">
        <v>10070.4</v>
      </c>
      <c r="D31" s="2">
        <v>10625.72</v>
      </c>
      <c r="E31" s="2">
        <v>9892.9500000000007</v>
      </c>
      <c r="F31" s="2">
        <v>12589.26</v>
      </c>
      <c r="G31" s="2">
        <v>16408.150000000001</v>
      </c>
      <c r="H31" t="s">
        <v>1</v>
      </c>
    </row>
    <row r="32" spans="1:8" x14ac:dyDescent="0.25">
      <c r="A32" t="s">
        <v>95</v>
      </c>
      <c r="B32" t="s">
        <v>31</v>
      </c>
      <c r="C32">
        <v>0</v>
      </c>
      <c r="D32">
        <v>0</v>
      </c>
      <c r="E32">
        <v>0</v>
      </c>
      <c r="F32">
        <v>0</v>
      </c>
      <c r="G32">
        <v>432.04</v>
      </c>
      <c r="H32" t="s">
        <v>1</v>
      </c>
    </row>
    <row r="33" spans="1:8" x14ac:dyDescent="0.25">
      <c r="A33" t="s">
        <v>95</v>
      </c>
      <c r="B33" t="s">
        <v>32</v>
      </c>
      <c r="C33">
        <v>550.05999999999995</v>
      </c>
      <c r="D33">
        <v>669.29</v>
      </c>
      <c r="E33">
        <v>556.12</v>
      </c>
      <c r="F33">
        <v>390.36</v>
      </c>
      <c r="G33">
        <v>285.37</v>
      </c>
      <c r="H33" t="s">
        <v>1</v>
      </c>
    </row>
    <row r="34" spans="1:8" x14ac:dyDescent="0.25">
      <c r="A34" t="s">
        <v>95</v>
      </c>
      <c r="B34" t="s">
        <v>33</v>
      </c>
      <c r="C34" s="2">
        <v>3406.58</v>
      </c>
      <c r="D34" s="2">
        <v>3625.98</v>
      </c>
      <c r="E34" s="2">
        <v>2574.75</v>
      </c>
      <c r="F34" s="2">
        <v>2978.11</v>
      </c>
      <c r="G34" s="2">
        <v>3064.23</v>
      </c>
      <c r="H34" t="s">
        <v>1</v>
      </c>
    </row>
    <row r="35" spans="1:8" x14ac:dyDescent="0.25">
      <c r="B35" t="s">
        <v>34</v>
      </c>
      <c r="C35" s="2">
        <v>50445.72</v>
      </c>
      <c r="D35" s="2">
        <v>57358.77</v>
      </c>
      <c r="E35" s="2">
        <v>62919.75</v>
      </c>
      <c r="F35" s="2">
        <v>70517.73</v>
      </c>
      <c r="G35" s="2">
        <v>80252.25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>
        <v>381.47</v>
      </c>
      <c r="D37">
        <v>0</v>
      </c>
      <c r="E37">
        <v>0</v>
      </c>
      <c r="F37">
        <v>468.48</v>
      </c>
      <c r="G37">
        <v>0</v>
      </c>
      <c r="H37" t="s">
        <v>1</v>
      </c>
    </row>
    <row r="38" spans="1:8" x14ac:dyDescent="0.25">
      <c r="A38" t="s">
        <v>96</v>
      </c>
      <c r="B38" t="s">
        <v>37</v>
      </c>
      <c r="C38" s="2">
        <v>1932.51</v>
      </c>
      <c r="D38" s="2">
        <v>2502.64</v>
      </c>
      <c r="E38" s="2">
        <v>3183.01</v>
      </c>
      <c r="F38" s="2">
        <v>2989.73</v>
      </c>
      <c r="G38" s="2">
        <v>3576.61</v>
      </c>
      <c r="H38" t="s">
        <v>1</v>
      </c>
    </row>
    <row r="39" spans="1:8" x14ac:dyDescent="0.25">
      <c r="A39" t="s">
        <v>96</v>
      </c>
      <c r="B39" t="s">
        <v>38</v>
      </c>
      <c r="C39" s="2">
        <v>3429.56</v>
      </c>
      <c r="D39" s="2">
        <v>4363.3900000000003</v>
      </c>
      <c r="E39" s="2">
        <v>4818.3100000000004</v>
      </c>
      <c r="F39" s="2">
        <v>3501.5</v>
      </c>
      <c r="G39" s="2">
        <v>7446.53</v>
      </c>
      <c r="H39" t="s">
        <v>1</v>
      </c>
    </row>
    <row r="40" spans="1:8" x14ac:dyDescent="0.25">
      <c r="A40" t="s">
        <v>96</v>
      </c>
      <c r="B40" t="s">
        <v>39</v>
      </c>
      <c r="C40" s="2">
        <v>2858.54</v>
      </c>
      <c r="D40" s="2">
        <v>1425.1</v>
      </c>
      <c r="E40" s="2">
        <v>1250.17</v>
      </c>
      <c r="F40" s="2">
        <v>2024.64</v>
      </c>
      <c r="G40" s="2">
        <v>2804.03</v>
      </c>
      <c r="H40" t="s">
        <v>1</v>
      </c>
    </row>
    <row r="41" spans="1:8" x14ac:dyDescent="0.25">
      <c r="A41" t="s">
        <v>95</v>
      </c>
      <c r="B41" t="s">
        <v>40</v>
      </c>
      <c r="C41">
        <v>693.59</v>
      </c>
      <c r="D41">
        <v>824</v>
      </c>
      <c r="E41" s="2">
        <v>1069.98</v>
      </c>
      <c r="F41">
        <v>685.67</v>
      </c>
      <c r="G41">
        <v>99.54</v>
      </c>
      <c r="H41" t="s">
        <v>1</v>
      </c>
    </row>
    <row r="42" spans="1:8" x14ac:dyDescent="0.25">
      <c r="A42" t="s">
        <v>95</v>
      </c>
      <c r="B42" t="s">
        <v>41</v>
      </c>
      <c r="C42" s="2">
        <v>1592.75</v>
      </c>
      <c r="D42" s="2">
        <v>1933.5</v>
      </c>
      <c r="E42" s="2">
        <v>1672.96</v>
      </c>
      <c r="F42" s="2">
        <v>1197.21</v>
      </c>
      <c r="G42" s="2">
        <v>2380.44</v>
      </c>
      <c r="H42" t="s">
        <v>1</v>
      </c>
    </row>
    <row r="43" spans="1:8" x14ac:dyDescent="0.25">
      <c r="B43" t="s">
        <v>42</v>
      </c>
      <c r="C43" s="2">
        <v>10888.42</v>
      </c>
      <c r="D43" s="2">
        <v>11048.63</v>
      </c>
      <c r="E43" s="2">
        <v>11994.43</v>
      </c>
      <c r="F43" s="2">
        <v>10867.23</v>
      </c>
      <c r="G43" s="2">
        <v>16307.15</v>
      </c>
      <c r="H43" t="s">
        <v>1</v>
      </c>
    </row>
    <row r="44" spans="1:8" x14ac:dyDescent="0.25">
      <c r="B44" t="s">
        <v>43</v>
      </c>
      <c r="C44" s="2">
        <v>61334.14</v>
      </c>
      <c r="D44" s="2">
        <v>68407.399999999994</v>
      </c>
      <c r="E44" s="2">
        <v>74914.179999999993</v>
      </c>
      <c r="F44" s="2">
        <v>81384.960000000006</v>
      </c>
      <c r="G44" s="2">
        <v>96559.4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>
        <v>33803.769999999997</v>
      </c>
      <c r="D47" s="2">
        <v>54360.71</v>
      </c>
      <c r="E47" s="2">
        <v>226955.6</v>
      </c>
      <c r="F47" s="2">
        <v>235884.19</v>
      </c>
      <c r="G47" s="2">
        <v>0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1409.42</v>
      </c>
      <c r="D49" s="2">
        <v>1409.42</v>
      </c>
      <c r="E49" s="2">
        <v>3664.49</v>
      </c>
      <c r="F49" s="2">
        <v>3664.49</v>
      </c>
      <c r="G49" s="2">
        <v>0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20820.669999999998</v>
      </c>
      <c r="D51" s="2">
        <v>21380</v>
      </c>
      <c r="E51" s="2">
        <v>18479</v>
      </c>
      <c r="F51" s="2">
        <v>23636.85</v>
      </c>
      <c r="G51" s="2">
        <v>0</v>
      </c>
      <c r="H51" t="s">
        <v>1</v>
      </c>
    </row>
    <row r="52" spans="2:8" x14ac:dyDescent="0.25">
      <c r="B52" t="s">
        <v>51</v>
      </c>
      <c r="C52">
        <v>1334.75</v>
      </c>
      <c r="D52" s="2">
        <v>2010.84</v>
      </c>
      <c r="E52" s="2">
        <v>3318.38</v>
      </c>
      <c r="F52" s="2">
        <v>4380.25</v>
      </c>
      <c r="G52" s="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0</v>
      </c>
      <c r="D54">
        <v>0</v>
      </c>
      <c r="E54">
        <v>0</v>
      </c>
      <c r="F54">
        <v>0</v>
      </c>
      <c r="G54">
        <v>0</v>
      </c>
      <c r="H54" t="s">
        <v>1</v>
      </c>
    </row>
    <row r="55" spans="2:8" x14ac:dyDescent="0.25">
      <c r="B55" t="s">
        <v>54</v>
      </c>
      <c r="C55">
        <v>381.47</v>
      </c>
      <c r="D55">
        <v>0</v>
      </c>
      <c r="E55">
        <v>0</v>
      </c>
      <c r="F55">
        <v>0</v>
      </c>
      <c r="G55">
        <v>0</v>
      </c>
      <c r="H55" t="s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A01D9-4DF9-450C-87FD-88452DB7AB97}">
  <dimension ref="B3:G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151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2106.86</v>
      </c>
      <c r="D6" s="16">
        <f>'Income Statement'!D28</f>
        <v>1734.15</v>
      </c>
      <c r="E6" s="16">
        <f>'Income Statement'!E28</f>
        <v>3285.64</v>
      </c>
      <c r="F6" s="16">
        <f>'Income Statement'!F28</f>
        <v>2238.58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1961.7138095238095</v>
      </c>
      <c r="D7" s="16">
        <f>'Income Statement'!D35</f>
        <v>2059.1651724137937</v>
      </c>
      <c r="E7" s="16">
        <f>'Income Statement'!E35</f>
        <v>2836.4171428571417</v>
      </c>
      <c r="F7" s="16">
        <f>'Income Statement'!F35</f>
        <v>3144.8164285714292</v>
      </c>
      <c r="G7" s="16">
        <f>'Income Statement'!G35</f>
        <v>2483.7567857142863</v>
      </c>
    </row>
    <row r="8" spans="2:7" ht="18.75" x14ac:dyDescent="0.25">
      <c r="B8" s="15" t="s">
        <v>148</v>
      </c>
      <c r="C8" s="16">
        <f>ROUND(C6/C7, 2)</f>
        <v>1.07</v>
      </c>
      <c r="D8" s="16">
        <f t="shared" ref="D8:G8" si="0">ROUND(D6/D7, 2)</f>
        <v>0.84</v>
      </c>
      <c r="E8" s="16">
        <f t="shared" si="0"/>
        <v>1.1599999999999999</v>
      </c>
      <c r="F8" s="16">
        <f t="shared" si="0"/>
        <v>0.71</v>
      </c>
      <c r="G8" s="16">
        <f t="shared" si="0"/>
        <v>0</v>
      </c>
    </row>
    <row r="9" spans="2:7" ht="18.75" x14ac:dyDescent="0.25">
      <c r="B9" s="15" t="str">
        <f>'Income Statement'!B27</f>
        <v>Reported Net Profit(PAT)</v>
      </c>
      <c r="C9" s="16">
        <f>'Income Statement'!C27</f>
        <v>41195.99</v>
      </c>
      <c r="D9" s="16">
        <f>'Income Statement'!D27</f>
        <v>59715.790000000015</v>
      </c>
      <c r="E9" s="16">
        <f>'Income Statement'!E27</f>
        <v>59564.75999999998</v>
      </c>
      <c r="F9" s="16">
        <f>'Income Statement'!F27</f>
        <v>44027.430000000008</v>
      </c>
      <c r="G9" s="16">
        <f>'Income Statement'!G27</f>
        <v>69545.190000000017</v>
      </c>
    </row>
    <row r="10" spans="2:7" ht="18.75" x14ac:dyDescent="0.25">
      <c r="B10" s="15" t="str">
        <f>'Income Statement'!B35</f>
        <v>Total Shares Outstanding(cr)</v>
      </c>
      <c r="C10" s="16">
        <f>'Income Statement'!C35</f>
        <v>1961.7138095238095</v>
      </c>
      <c r="D10" s="16">
        <f>'Income Statement'!D35</f>
        <v>2059.1651724137937</v>
      </c>
      <c r="E10" s="16">
        <f>'Income Statement'!E35</f>
        <v>2836.4171428571417</v>
      </c>
      <c r="F10" s="16">
        <f>'Income Statement'!F35</f>
        <v>3144.8164285714292</v>
      </c>
      <c r="G10" s="16">
        <f>'Income Statement'!G35</f>
        <v>2483.7567857142863</v>
      </c>
    </row>
    <row r="11" spans="2:7" ht="18.75" x14ac:dyDescent="0.25">
      <c r="B11" s="15" t="s">
        <v>146</v>
      </c>
      <c r="C11" s="16">
        <f>C9/C10</f>
        <v>21</v>
      </c>
      <c r="D11" s="16">
        <f t="shared" ref="D11:G11" si="1">D9/D10</f>
        <v>29</v>
      </c>
      <c r="E11" s="16">
        <f t="shared" si="1"/>
        <v>21</v>
      </c>
      <c r="F11" s="16">
        <f t="shared" si="1"/>
        <v>14</v>
      </c>
      <c r="G11" s="16">
        <f t="shared" si="1"/>
        <v>28</v>
      </c>
    </row>
    <row r="12" spans="2:7" ht="18.75" x14ac:dyDescent="0.25">
      <c r="B12" s="17" t="s">
        <v>152</v>
      </c>
      <c r="C12" s="17">
        <f>ROUND(C8/C11, 2)</f>
        <v>0.05</v>
      </c>
      <c r="D12" s="17">
        <f t="shared" ref="D12:G12" si="2">ROUND(D8/D11, 2)</f>
        <v>0.03</v>
      </c>
      <c r="E12" s="17">
        <f t="shared" si="2"/>
        <v>0.06</v>
      </c>
      <c r="F12" s="17">
        <f t="shared" si="2"/>
        <v>0.05</v>
      </c>
      <c r="G12" s="17">
        <f t="shared" si="2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127D7B-7EFB-456C-AE88-AAC7DFFFA03B}">
  <dimension ref="B3:G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4" width="11.5703125" bestFit="1" customWidth="1"/>
    <col min="5" max="5" width="11.85546875" bestFit="1" customWidth="1"/>
    <col min="6" max="6" width="11.5703125" bestFit="1" customWidth="1"/>
    <col min="7" max="7" width="12.42578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153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2106.86</v>
      </c>
      <c r="D6" s="16">
        <f>'Income Statement'!D28</f>
        <v>1734.15</v>
      </c>
      <c r="E6" s="16">
        <f>'Income Statement'!E28</f>
        <v>3285.64</v>
      </c>
      <c r="F6" s="16">
        <f>'Income Statement'!F28</f>
        <v>2238.58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1961.7138095238095</v>
      </c>
      <c r="D7" s="16">
        <f>'Income Statement'!D35</f>
        <v>2059.1651724137937</v>
      </c>
      <c r="E7" s="16">
        <f>'Income Statement'!E35</f>
        <v>2836.4171428571417</v>
      </c>
      <c r="F7" s="16">
        <f>'Income Statement'!F35</f>
        <v>3144.8164285714292</v>
      </c>
      <c r="G7" s="16">
        <f>'Income Statement'!G35</f>
        <v>2483.7567857142863</v>
      </c>
    </row>
    <row r="8" spans="2:7" ht="18.75" x14ac:dyDescent="0.25">
      <c r="B8" s="15" t="s">
        <v>154</v>
      </c>
      <c r="C8" s="16">
        <f>ROUND(C6/C7, 2)</f>
        <v>1.07</v>
      </c>
      <c r="D8" s="16">
        <f t="shared" ref="D8:G8" si="0">ROUND(D6/D7, 2)</f>
        <v>0.84</v>
      </c>
      <c r="E8" s="16">
        <f t="shared" si="0"/>
        <v>1.1599999999999999</v>
      </c>
      <c r="F8" s="16">
        <f t="shared" si="0"/>
        <v>0.71</v>
      </c>
      <c r="G8" s="16">
        <f t="shared" si="0"/>
        <v>0</v>
      </c>
    </row>
    <row r="9" spans="2:7" ht="18.75" x14ac:dyDescent="0.25">
      <c r="B9" s="17" t="s">
        <v>155</v>
      </c>
      <c r="C9" s="27">
        <f>1-C8</f>
        <v>-7.0000000000000062E-2</v>
      </c>
      <c r="D9" s="27">
        <f t="shared" ref="D9:G9" si="1">1-D8</f>
        <v>0.16000000000000003</v>
      </c>
      <c r="E9" s="27">
        <f t="shared" si="1"/>
        <v>-0.15999999999999992</v>
      </c>
      <c r="F9" s="27">
        <f t="shared" si="1"/>
        <v>0.29000000000000004</v>
      </c>
      <c r="G9" s="27">
        <f t="shared" si="1"/>
        <v>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56EB1A-4557-4F8E-B0AF-36A26CCE967C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156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54556.09</v>
      </c>
      <c r="D6" s="16">
        <f>'Income Statement'!D5</f>
        <v>75912.02</v>
      </c>
      <c r="E6" s="16">
        <f>'Income Statement'!E5</f>
        <v>72423.56</v>
      </c>
      <c r="F6" s="16">
        <f>'Income Statement'!F5</f>
        <v>57208.12</v>
      </c>
      <c r="G6" s="16">
        <f>'Income Statement'!G5</f>
        <v>92873.82</v>
      </c>
    </row>
    <row r="7" spans="2:7" ht="18.75" x14ac:dyDescent="0.25">
      <c r="B7" s="15" t="str">
        <f>'Income Statement'!B11</f>
        <v>Cost Of Materials Consumed</v>
      </c>
      <c r="C7" s="16">
        <f>'Income Statement'!C11</f>
        <v>4140.8999999999996</v>
      </c>
      <c r="D7" s="16">
        <f>'Income Statement'!D11</f>
        <v>5079.83</v>
      </c>
      <c r="E7" s="16">
        <f>'Income Statement'!E11</f>
        <v>4411.97</v>
      </c>
      <c r="F7" s="16">
        <f>'Income Statement'!F11</f>
        <v>3905.88</v>
      </c>
      <c r="G7" s="16">
        <f>'Income Statement'!G11</f>
        <v>11103.28</v>
      </c>
    </row>
    <row r="8" spans="2:7" ht="18.75" x14ac:dyDescent="0.25">
      <c r="B8" s="17" t="s">
        <v>157</v>
      </c>
      <c r="C8" s="28">
        <f>ROUND(C6- C7, 2)</f>
        <v>50415.19</v>
      </c>
      <c r="D8" s="28">
        <f t="shared" ref="D8:G8" si="0">ROUND(D6- D7, 2)</f>
        <v>70832.19</v>
      </c>
      <c r="E8" s="28">
        <f t="shared" si="0"/>
        <v>68011.59</v>
      </c>
      <c r="F8" s="28">
        <f t="shared" si="0"/>
        <v>53302.239999999998</v>
      </c>
      <c r="G8" s="28">
        <f t="shared" si="0"/>
        <v>81770.539999999994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A4441-E912-4112-911E-11633259D8C1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158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54556.09</v>
      </c>
      <c r="D6" s="16">
        <f>'Income Statement'!D5</f>
        <v>75912.02</v>
      </c>
      <c r="E6" s="16">
        <f>'Income Statement'!E5</f>
        <v>72423.56</v>
      </c>
      <c r="F6" s="16">
        <f>'Income Statement'!F5</f>
        <v>57208.12</v>
      </c>
      <c r="G6" s="16">
        <f>'Income Statement'!G5</f>
        <v>92873.82</v>
      </c>
    </row>
    <row r="7" spans="2:7" ht="18.75" x14ac:dyDescent="0.25">
      <c r="B7" s="15" t="str">
        <f>'Income Statement'!B15</f>
        <v>Total Expenditure</v>
      </c>
      <c r="C7" s="16">
        <f>'Income Statement'!C15</f>
        <v>10030.209999999999</v>
      </c>
      <c r="D7" s="16">
        <f>'Income Statement'!D15</f>
        <v>12261.96</v>
      </c>
      <c r="E7" s="16">
        <f>'Income Statement'!E15</f>
        <v>11033.27</v>
      </c>
      <c r="F7" s="16">
        <f>'Income Statement'!F15</f>
        <v>10308.82</v>
      </c>
      <c r="G7" s="16">
        <f>'Income Statement'!G15</f>
        <v>18614.349999999999</v>
      </c>
    </row>
    <row r="8" spans="2:7" ht="18.75" x14ac:dyDescent="0.25">
      <c r="B8" s="17" t="s">
        <v>159</v>
      </c>
      <c r="C8" s="28">
        <f>ROUND(C6- C7, 2)</f>
        <v>44525.88</v>
      </c>
      <c r="D8" s="28">
        <f t="shared" ref="D8:G8" si="0">ROUND(D6- D7, 2)</f>
        <v>63650.06</v>
      </c>
      <c r="E8" s="28">
        <f t="shared" si="0"/>
        <v>61390.29</v>
      </c>
      <c r="F8" s="28">
        <f t="shared" si="0"/>
        <v>46899.3</v>
      </c>
      <c r="G8" s="28">
        <f t="shared" si="0"/>
        <v>74259.47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06829-F5A1-4A23-8678-5217A3A7E705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3" width="13.140625" bestFit="1" customWidth="1"/>
    <col min="4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160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41195.99</v>
      </c>
      <c r="D6" s="16">
        <f>'Income Statement'!D27</f>
        <v>59715.790000000015</v>
      </c>
      <c r="E6" s="16">
        <f>'Income Statement'!E27</f>
        <v>59564.75999999998</v>
      </c>
      <c r="F6" s="16">
        <f>'Income Statement'!F27</f>
        <v>44027.430000000008</v>
      </c>
      <c r="G6" s="16">
        <f>'Income Statement'!G27</f>
        <v>69545.190000000017</v>
      </c>
    </row>
    <row r="7" spans="2:7" ht="18.75" x14ac:dyDescent="0.25">
      <c r="B7" s="15" t="str">
        <f>'Balance Sheet'!B40</f>
        <v>Total Assets</v>
      </c>
      <c r="C7" s="16">
        <f>'Balance Sheet'!C40</f>
        <v>61334.14</v>
      </c>
      <c r="D7" s="16">
        <f>'Balance Sheet'!D40</f>
        <v>121707.05000000002</v>
      </c>
      <c r="E7" s="16">
        <f>'Balance Sheet'!E40</f>
        <v>182808.5</v>
      </c>
      <c r="F7" s="16">
        <f>'Balance Sheet'!F40</f>
        <v>227084.28999999998</v>
      </c>
      <c r="G7" s="16">
        <f>'Balance Sheet'!G40</f>
        <v>300871.98000000004</v>
      </c>
    </row>
    <row r="8" spans="2:7" ht="18.75" x14ac:dyDescent="0.25">
      <c r="B8" s="17" t="s">
        <v>161</v>
      </c>
      <c r="C8" s="27">
        <f>ROUND(C6/ C7, 2)</f>
        <v>0.67</v>
      </c>
      <c r="D8" s="27">
        <f t="shared" ref="D8:G8" si="0">ROUND(D6/ D7, 2)</f>
        <v>0.49</v>
      </c>
      <c r="E8" s="27">
        <f t="shared" si="0"/>
        <v>0.33</v>
      </c>
      <c r="F8" s="27">
        <f t="shared" si="0"/>
        <v>0.19</v>
      </c>
      <c r="G8" s="27">
        <f t="shared" si="0"/>
        <v>0.23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55D5C7-1BA1-4259-BF5B-08FBF9991955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4" width="13.140625" bestFit="1" customWidth="1"/>
    <col min="5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162</v>
      </c>
      <c r="C5" s="14"/>
      <c r="D5" s="14"/>
      <c r="E5" s="14"/>
      <c r="F5" s="14"/>
      <c r="G5" s="14"/>
    </row>
    <row r="6" spans="2:7" ht="18.75" x14ac:dyDescent="0.25">
      <c r="B6" s="15" t="str">
        <f>'Income Statement'!B19</f>
        <v>PBIT</v>
      </c>
      <c r="C6" s="16">
        <f>'Income Statement'!C19</f>
        <v>43613.75</v>
      </c>
      <c r="D6" s="16">
        <f>'Income Statement'!D19</f>
        <v>63153.410000000011</v>
      </c>
      <c r="E6" s="16">
        <f>'Income Statement'!E19</f>
        <v>60787.999999999985</v>
      </c>
      <c r="F6" s="16">
        <f>'Income Statement'!F19</f>
        <v>45789.33</v>
      </c>
      <c r="G6" s="16">
        <f>'Income Statement'!G19</f>
        <v>72907.560000000012</v>
      </c>
    </row>
    <row r="7" spans="2:7" ht="18.75" x14ac:dyDescent="0.25">
      <c r="B7" s="15" t="str">
        <f>'Balance Sheet'!B13</f>
        <v>Total Debt</v>
      </c>
      <c r="C7" s="16">
        <f>'Balance Sheet'!C13</f>
        <v>7135.41</v>
      </c>
      <c r="D7" s="16">
        <f>'Balance Sheet'!D13</f>
        <v>8580.61</v>
      </c>
      <c r="E7" s="16">
        <f>'Balance Sheet'!E13</f>
        <v>10376.790000000001</v>
      </c>
      <c r="F7" s="16">
        <f>'Balance Sheet'!F13</f>
        <v>10848.76</v>
      </c>
      <c r="G7" s="16">
        <f>'Balance Sheet'!G13</f>
        <v>12029.49</v>
      </c>
    </row>
    <row r="8" spans="2:7" ht="18.75" x14ac:dyDescent="0.25">
      <c r="B8" s="15" t="str">
        <f>'Balance Sheet'!B9</f>
        <v>Net Worth</v>
      </c>
      <c r="C8" s="16">
        <f>'Balance Sheet'!C9</f>
        <v>41678.57</v>
      </c>
      <c r="D8" s="16">
        <f>'Balance Sheet'!D9</f>
        <v>99303.750000000029</v>
      </c>
      <c r="E8" s="16">
        <f>'Balance Sheet'!E9</f>
        <v>157162.57</v>
      </c>
      <c r="F8" s="16">
        <f>'Balance Sheet'!F9</f>
        <v>198881.67</v>
      </c>
      <c r="G8" s="16">
        <f>'Balance Sheet'!G9</f>
        <v>268426.86000000004</v>
      </c>
    </row>
    <row r="9" spans="2:7" ht="18.75" x14ac:dyDescent="0.25">
      <c r="B9" s="17" t="s">
        <v>163</v>
      </c>
      <c r="C9" s="27">
        <f>ROUND(C6/ (C7+ C7), 2)</f>
        <v>3.06</v>
      </c>
      <c r="D9" s="27">
        <f t="shared" ref="D9:G9" si="0">ROUND(D6/ (D7+ D7), 2)</f>
        <v>3.68</v>
      </c>
      <c r="E9" s="27">
        <f t="shared" si="0"/>
        <v>2.93</v>
      </c>
      <c r="F9" s="27">
        <f t="shared" si="0"/>
        <v>2.11</v>
      </c>
      <c r="G9" s="27">
        <f t="shared" si="0"/>
        <v>3.03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4E753-46F5-476D-B829-1848D6591398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4" width="13.140625" bestFit="1" customWidth="1"/>
    <col min="5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164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41195.99</v>
      </c>
      <c r="D6" s="16">
        <f>'Income Statement'!D27</f>
        <v>59715.790000000015</v>
      </c>
      <c r="E6" s="16">
        <f>'Income Statement'!E27</f>
        <v>59564.75999999998</v>
      </c>
      <c r="F6" s="16">
        <f>'Income Statement'!F27</f>
        <v>44027.430000000008</v>
      </c>
      <c r="G6" s="16">
        <f>'Income Statement'!G27</f>
        <v>69545.190000000017</v>
      </c>
    </row>
    <row r="7" spans="2:7" ht="18.75" x14ac:dyDescent="0.25">
      <c r="B7" s="15" t="str">
        <f>'Balance Sheet'!B9</f>
        <v>Net Worth</v>
      </c>
      <c r="C7" s="16">
        <f>'Balance Sheet'!C9</f>
        <v>41678.57</v>
      </c>
      <c r="D7" s="16">
        <f>'Balance Sheet'!D9</f>
        <v>99303.750000000029</v>
      </c>
      <c r="E7" s="16">
        <f>'Balance Sheet'!E9</f>
        <v>157162.57</v>
      </c>
      <c r="F7" s="16">
        <f>'Balance Sheet'!F9</f>
        <v>198881.67</v>
      </c>
      <c r="G7" s="16">
        <f>'Balance Sheet'!G9</f>
        <v>268426.86000000004</v>
      </c>
    </row>
    <row r="8" spans="2:7" ht="18.75" x14ac:dyDescent="0.25">
      <c r="B8" s="17" t="s">
        <v>165</v>
      </c>
      <c r="C8" s="27">
        <f>ROUND(C6/ (C7+ C7), 2)</f>
        <v>0.49</v>
      </c>
      <c r="D8" s="27">
        <f t="shared" ref="D8:G8" si="0">ROUND(D6/ (D7+ D7), 2)</f>
        <v>0.3</v>
      </c>
      <c r="E8" s="27">
        <f t="shared" si="0"/>
        <v>0.19</v>
      </c>
      <c r="F8" s="27">
        <f t="shared" si="0"/>
        <v>0.11</v>
      </c>
      <c r="G8" s="27">
        <f t="shared" si="0"/>
        <v>0.13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70931-8A51-4526-BDE9-F7CC41BE57B7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4" width="13.140625" bestFit="1" customWidth="1"/>
    <col min="5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166</v>
      </c>
      <c r="C5" s="14"/>
      <c r="D5" s="14"/>
      <c r="E5" s="14"/>
      <c r="F5" s="14"/>
      <c r="G5" s="14"/>
    </row>
    <row r="6" spans="2:7" ht="18.75" x14ac:dyDescent="0.25">
      <c r="B6" s="15" t="str">
        <f>'Balance Sheet'!B13</f>
        <v>Total Debt</v>
      </c>
      <c r="C6" s="16">
        <f>'Balance Sheet'!C13</f>
        <v>7135.41</v>
      </c>
      <c r="D6" s="16">
        <f>'Balance Sheet'!D13</f>
        <v>8580.61</v>
      </c>
      <c r="E6" s="16">
        <f>'Balance Sheet'!E13</f>
        <v>10376.790000000001</v>
      </c>
      <c r="F6" s="16">
        <f>'Balance Sheet'!F13</f>
        <v>10848.76</v>
      </c>
      <c r="G6" s="16">
        <f>'Balance Sheet'!G13</f>
        <v>12029.49</v>
      </c>
    </row>
    <row r="7" spans="2:7" ht="18.75" x14ac:dyDescent="0.25">
      <c r="B7" s="15" t="str">
        <f>'Balance Sheet'!B9</f>
        <v>Net Worth</v>
      </c>
      <c r="C7" s="16">
        <f>'Balance Sheet'!C9</f>
        <v>41678.57</v>
      </c>
      <c r="D7" s="16">
        <f>'Balance Sheet'!D9</f>
        <v>99303.750000000029</v>
      </c>
      <c r="E7" s="16">
        <f>'Balance Sheet'!E9</f>
        <v>157162.57</v>
      </c>
      <c r="F7" s="16">
        <f>'Balance Sheet'!F9</f>
        <v>198881.67</v>
      </c>
      <c r="G7" s="16">
        <f>'Balance Sheet'!G9</f>
        <v>268426.86000000004</v>
      </c>
    </row>
    <row r="8" spans="2:7" ht="18.75" x14ac:dyDescent="0.25">
      <c r="B8" s="17" t="s">
        <v>167</v>
      </c>
      <c r="C8" s="17">
        <f>ROUND(C6/ C7, 2)</f>
        <v>0.17</v>
      </c>
      <c r="D8" s="17">
        <f t="shared" ref="D8:G8" si="0">ROUND(D6/ D7, 2)</f>
        <v>0.09</v>
      </c>
      <c r="E8" s="17">
        <f t="shared" si="0"/>
        <v>7.0000000000000007E-2</v>
      </c>
      <c r="F8" s="17">
        <f t="shared" si="0"/>
        <v>0.05</v>
      </c>
      <c r="G8" s="17">
        <f t="shared" si="0"/>
        <v>0.04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1CD46-19DF-44C7-BD84-072721B87731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4" width="13.140625" bestFit="1" customWidth="1"/>
    <col min="5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168</v>
      </c>
      <c r="C5" s="14"/>
      <c r="D5" s="14"/>
      <c r="E5" s="14"/>
      <c r="F5" s="14"/>
      <c r="G5" s="14"/>
    </row>
    <row r="6" spans="2:7" ht="18.75" x14ac:dyDescent="0.25">
      <c r="B6" s="15" t="str">
        <f>'Balance Sheet'!B39</f>
        <v>Total Current Assets</v>
      </c>
      <c r="C6" s="16">
        <f>'Balance Sheet'!C39</f>
        <v>14463.59</v>
      </c>
      <c r="D6" s="16">
        <f>'Balance Sheet'!D39</f>
        <v>70310.190000000017</v>
      </c>
      <c r="E6" s="16">
        <f>'Balance Sheet'!E39</f>
        <v>126766.42</v>
      </c>
      <c r="F6" s="16">
        <f>'Balance Sheet'!F39</f>
        <v>165387.16999999998</v>
      </c>
      <c r="G6" s="16">
        <f>'Balance Sheet'!G39</f>
        <v>232742.16000000003</v>
      </c>
    </row>
    <row r="7" spans="2:7" ht="18.75" x14ac:dyDescent="0.25">
      <c r="B7" s="15" t="str">
        <f>'Balance Sheet'!B19</f>
        <v>Total Current Liabilities</v>
      </c>
      <c r="C7" s="16">
        <f>'Balance Sheet'!C19</f>
        <v>12481.24</v>
      </c>
      <c r="D7" s="16">
        <f>'Balance Sheet'!D19</f>
        <v>13776.74</v>
      </c>
      <c r="E7" s="16">
        <f>'Balance Sheet'!E19</f>
        <v>15182.099999999999</v>
      </c>
      <c r="F7" s="16">
        <f>'Balance Sheet'!F19</f>
        <v>17256.37</v>
      </c>
      <c r="G7" s="16">
        <f>'Balance Sheet'!G19</f>
        <v>20224.45</v>
      </c>
    </row>
    <row r="8" spans="2:7" ht="18.75" x14ac:dyDescent="0.25">
      <c r="B8" s="17" t="s">
        <v>169</v>
      </c>
      <c r="C8" s="17">
        <f>ROUND(C6/ C7, 2)</f>
        <v>1.1599999999999999</v>
      </c>
      <c r="D8" s="17">
        <f t="shared" ref="D8:G8" si="0">ROUND(D6/ D7, 2)</f>
        <v>5.0999999999999996</v>
      </c>
      <c r="E8" s="17">
        <f t="shared" si="0"/>
        <v>8.35</v>
      </c>
      <c r="F8" s="17">
        <f t="shared" si="0"/>
        <v>9.58</v>
      </c>
      <c r="G8" s="17">
        <f t="shared" si="0"/>
        <v>11.51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20FC4-796D-4841-96CF-160B158DAB3C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4" width="13.140625" bestFit="1" customWidth="1"/>
    <col min="5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170</v>
      </c>
      <c r="C5" s="14"/>
      <c r="D5" s="14"/>
      <c r="E5" s="14"/>
      <c r="F5" s="14"/>
      <c r="G5" s="14"/>
    </row>
    <row r="6" spans="2:7" ht="18.75" x14ac:dyDescent="0.25">
      <c r="B6" s="15" t="str">
        <f>'Balance Sheet'!B39</f>
        <v>Total Current Assets</v>
      </c>
      <c r="C6" s="16">
        <f>'Balance Sheet'!C39</f>
        <v>14463.59</v>
      </c>
      <c r="D6" s="16">
        <f>'Balance Sheet'!D39</f>
        <v>70310.190000000017</v>
      </c>
      <c r="E6" s="16">
        <f>'Balance Sheet'!E39</f>
        <v>126766.42</v>
      </c>
      <c r="F6" s="16">
        <f>'Balance Sheet'!F39</f>
        <v>165387.16999999998</v>
      </c>
      <c r="G6" s="16">
        <f>'Balance Sheet'!G39</f>
        <v>232742.16000000003</v>
      </c>
    </row>
    <row r="7" spans="2:7" ht="18.75" x14ac:dyDescent="0.25">
      <c r="B7" s="15" t="str">
        <f>'Balance Sheet'!B36</f>
        <v>Inventories</v>
      </c>
      <c r="C7" s="16">
        <f>'Balance Sheet'!C36</f>
        <v>1932.51</v>
      </c>
      <c r="D7" s="16">
        <f>'Balance Sheet'!D36</f>
        <v>2502.64</v>
      </c>
      <c r="E7" s="16">
        <f>'Balance Sheet'!E36</f>
        <v>3183.01</v>
      </c>
      <c r="F7" s="16">
        <f>'Balance Sheet'!F36</f>
        <v>2989.73</v>
      </c>
      <c r="G7" s="16">
        <f>'Balance Sheet'!G36</f>
        <v>3576.61</v>
      </c>
    </row>
    <row r="8" spans="2:7" ht="18.75" x14ac:dyDescent="0.25">
      <c r="B8" s="15" t="str">
        <f>'Balance Sheet'!B19</f>
        <v>Total Current Liabilities</v>
      </c>
      <c r="C8" s="16">
        <f>'Balance Sheet'!C19</f>
        <v>12481.24</v>
      </c>
      <c r="D8" s="16">
        <f>'Balance Sheet'!D19</f>
        <v>13776.74</v>
      </c>
      <c r="E8" s="16">
        <f>'Balance Sheet'!E19</f>
        <v>15182.099999999999</v>
      </c>
      <c r="F8" s="16">
        <f>'Balance Sheet'!F19</f>
        <v>17256.37</v>
      </c>
      <c r="G8" s="16">
        <f>'Balance Sheet'!G19</f>
        <v>20224.45</v>
      </c>
    </row>
    <row r="9" spans="2:7" ht="18.75" x14ac:dyDescent="0.25">
      <c r="B9" s="17" t="s">
        <v>171</v>
      </c>
      <c r="C9" s="17">
        <f>ROUND((C6-C7)/ C8, 2)</f>
        <v>1</v>
      </c>
      <c r="D9" s="17">
        <f t="shared" ref="D9:G9" si="0">ROUND((D6-D7)/ D8, 2)</f>
        <v>4.92</v>
      </c>
      <c r="E9" s="17">
        <f t="shared" si="0"/>
        <v>8.14</v>
      </c>
      <c r="F9" s="17">
        <f t="shared" si="0"/>
        <v>9.41</v>
      </c>
      <c r="G9" s="17">
        <f t="shared" si="0"/>
        <v>11.33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F8575-1BB5-462B-8B62-FDAF47BE4408}">
  <dimension ref="A2:H41"/>
  <sheetViews>
    <sheetView topLeftCell="A23" workbookViewId="0">
      <selection activeCell="A41" sqref="A41"/>
    </sheetView>
  </sheetViews>
  <sheetFormatPr defaultRowHeight="15" x14ac:dyDescent="0.25"/>
  <sheetData>
    <row r="2" spans="1:8" x14ac:dyDescent="0.25">
      <c r="B2" s="3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56</v>
      </c>
      <c r="H4" t="s">
        <v>1</v>
      </c>
    </row>
    <row r="5" spans="1:8" x14ac:dyDescent="0.25">
      <c r="A5" t="s">
        <v>97</v>
      </c>
      <c r="B5" t="s">
        <v>97</v>
      </c>
      <c r="C5" s="2">
        <v>54556.09</v>
      </c>
      <c r="D5" s="2">
        <v>75912.02</v>
      </c>
      <c r="E5" s="2">
        <v>72423.56</v>
      </c>
      <c r="F5" s="2">
        <v>57208.12</v>
      </c>
      <c r="G5" s="2">
        <v>92873.82</v>
      </c>
      <c r="H5" t="s">
        <v>1</v>
      </c>
    </row>
    <row r="6" spans="1:8" x14ac:dyDescent="0.25">
      <c r="A6" t="s">
        <v>98</v>
      </c>
      <c r="B6" t="s">
        <v>98</v>
      </c>
      <c r="C6">
        <v>197.96</v>
      </c>
      <c r="D6">
        <v>44.28</v>
      </c>
      <c r="E6">
        <v>59.28</v>
      </c>
      <c r="F6">
        <v>56.35</v>
      </c>
      <c r="G6">
        <v>103.99</v>
      </c>
      <c r="H6" t="s">
        <v>1</v>
      </c>
    </row>
    <row r="7" spans="1:8" x14ac:dyDescent="0.25">
      <c r="B7" t="s">
        <v>57</v>
      </c>
      <c r="C7" s="2">
        <v>54358.13</v>
      </c>
      <c r="D7" s="2">
        <v>75867.740000000005</v>
      </c>
      <c r="E7" s="2">
        <v>72364.28</v>
      </c>
      <c r="F7" s="2">
        <v>57151.77</v>
      </c>
      <c r="G7" s="2">
        <v>92769.83</v>
      </c>
      <c r="H7" t="s">
        <v>1</v>
      </c>
    </row>
    <row r="8" spans="1:8" x14ac:dyDescent="0.25">
      <c r="B8" t="s">
        <v>58</v>
      </c>
      <c r="C8" s="2">
        <v>54496.35</v>
      </c>
      <c r="D8" s="2">
        <v>76189.89</v>
      </c>
      <c r="E8" s="2">
        <v>72517.7</v>
      </c>
      <c r="F8" s="2">
        <v>57371.91</v>
      </c>
      <c r="G8" s="2">
        <v>92769.83</v>
      </c>
      <c r="H8" t="s">
        <v>1</v>
      </c>
    </row>
    <row r="9" spans="1:8" x14ac:dyDescent="0.25">
      <c r="A9" t="s">
        <v>59</v>
      </c>
      <c r="B9" t="s">
        <v>59</v>
      </c>
      <c r="C9" s="2">
        <v>812.72</v>
      </c>
      <c r="D9" s="2">
        <v>1214.27</v>
      </c>
      <c r="E9" s="2">
        <v>1537.15</v>
      </c>
      <c r="F9" s="2">
        <v>1120.2</v>
      </c>
      <c r="G9">
        <v>1172.25</v>
      </c>
      <c r="H9" t="s">
        <v>1</v>
      </c>
    </row>
    <row r="10" spans="1:8" x14ac:dyDescent="0.25">
      <c r="B10" t="s">
        <v>60</v>
      </c>
      <c r="C10" s="2">
        <v>55309.07</v>
      </c>
      <c r="D10" s="2">
        <v>77404.160000000003</v>
      </c>
      <c r="E10" s="2">
        <v>74054.850000000006</v>
      </c>
      <c r="F10" s="2">
        <v>58492.11</v>
      </c>
      <c r="G10" s="2">
        <v>93942.080000000002</v>
      </c>
      <c r="H10" t="s">
        <v>1</v>
      </c>
    </row>
    <row r="11" spans="1:8" x14ac:dyDescent="0.25">
      <c r="B11" t="s">
        <v>61</v>
      </c>
      <c r="H11" t="s">
        <v>1</v>
      </c>
    </row>
    <row r="12" spans="1:8" x14ac:dyDescent="0.25">
      <c r="A12" t="s">
        <v>99</v>
      </c>
      <c r="B12" t="s">
        <v>62</v>
      </c>
      <c r="C12" s="2">
        <v>4140.8999999999996</v>
      </c>
      <c r="D12" s="2">
        <v>5079.83</v>
      </c>
      <c r="E12" s="2">
        <v>4411.97</v>
      </c>
      <c r="F12" s="2">
        <v>3905.88</v>
      </c>
      <c r="G12" s="2">
        <v>11103.28</v>
      </c>
      <c r="H12" t="s">
        <v>1</v>
      </c>
    </row>
    <row r="13" spans="1:8" x14ac:dyDescent="0.25">
      <c r="B13" t="s">
        <v>63</v>
      </c>
      <c r="C13" s="2">
        <v>36721.199999999997</v>
      </c>
      <c r="D13" s="2">
        <v>54807.98</v>
      </c>
      <c r="E13" s="2">
        <v>52878.13</v>
      </c>
      <c r="F13" s="2">
        <v>39379.129999999997</v>
      </c>
      <c r="G13" s="2">
        <v>59266.68</v>
      </c>
      <c r="H13" t="s">
        <v>1</v>
      </c>
    </row>
    <row r="14" spans="1:8" x14ac:dyDescent="0.25">
      <c r="A14" t="s">
        <v>99</v>
      </c>
      <c r="B14" t="s">
        <v>64</v>
      </c>
      <c r="C14">
        <v>0</v>
      </c>
      <c r="D14">
        <v>0</v>
      </c>
      <c r="E14">
        <v>0</v>
      </c>
      <c r="F14">
        <v>0</v>
      </c>
      <c r="G14">
        <v>0</v>
      </c>
      <c r="H14" t="s">
        <v>1</v>
      </c>
    </row>
    <row r="15" spans="1:8" x14ac:dyDescent="0.25">
      <c r="B15" t="s">
        <v>65</v>
      </c>
      <c r="C15">
        <v>-34.08</v>
      </c>
      <c r="D15">
        <v>-547.61</v>
      </c>
      <c r="E15">
        <v>-427.99</v>
      </c>
      <c r="F15">
        <v>440.2</v>
      </c>
      <c r="G15">
        <v>-262.77999999999997</v>
      </c>
      <c r="H15" t="s">
        <v>1</v>
      </c>
    </row>
    <row r="16" spans="1:8" x14ac:dyDescent="0.25">
      <c r="A16" t="s">
        <v>99</v>
      </c>
      <c r="B16" t="s">
        <v>66</v>
      </c>
      <c r="C16" s="2">
        <v>1345.61</v>
      </c>
      <c r="D16" s="2">
        <v>1863.2</v>
      </c>
      <c r="E16" s="2">
        <v>1633.74</v>
      </c>
      <c r="F16" s="2">
        <v>1645.89</v>
      </c>
      <c r="G16" s="2">
        <v>1815.55</v>
      </c>
      <c r="H16" t="s">
        <v>1</v>
      </c>
    </row>
    <row r="17" spans="1:8" x14ac:dyDescent="0.25">
      <c r="A17" t="s">
        <v>100</v>
      </c>
      <c r="B17" t="s">
        <v>67</v>
      </c>
      <c r="C17">
        <v>294.91000000000003</v>
      </c>
      <c r="D17">
        <v>159.19999999999999</v>
      </c>
      <c r="E17">
        <v>308.94</v>
      </c>
      <c r="F17">
        <v>179.27</v>
      </c>
      <c r="G17">
        <v>202.48</v>
      </c>
      <c r="H17" t="s">
        <v>1</v>
      </c>
    </row>
    <row r="18" spans="1:8" x14ac:dyDescent="0.25">
      <c r="A18" t="s">
        <v>101</v>
      </c>
      <c r="B18" t="s">
        <v>68</v>
      </c>
      <c r="C18" s="2">
        <v>1526.89</v>
      </c>
      <c r="D18" s="2">
        <v>1666.64</v>
      </c>
      <c r="E18" s="2">
        <v>2080.16</v>
      </c>
      <c r="F18" s="2">
        <v>2173.8200000000002</v>
      </c>
      <c r="G18" s="2">
        <v>2420.17</v>
      </c>
      <c r="H18" t="s">
        <v>1</v>
      </c>
    </row>
    <row r="19" spans="1:8" x14ac:dyDescent="0.25">
      <c r="A19" t="s">
        <v>99</v>
      </c>
      <c r="B19" t="s">
        <v>69</v>
      </c>
      <c r="C19" s="2">
        <v>4543.7</v>
      </c>
      <c r="D19" s="2">
        <v>5318.93</v>
      </c>
      <c r="E19" s="2">
        <v>4987.5600000000004</v>
      </c>
      <c r="F19" s="2">
        <v>4757.05</v>
      </c>
      <c r="G19" s="2">
        <v>5695.52</v>
      </c>
      <c r="H19" t="s">
        <v>1</v>
      </c>
    </row>
    <row r="20" spans="1:8" x14ac:dyDescent="0.25">
      <c r="B20" t="s">
        <v>70</v>
      </c>
      <c r="C20" s="2">
        <v>48539.13</v>
      </c>
      <c r="D20" s="2">
        <v>68348.17</v>
      </c>
      <c r="E20" s="2">
        <v>65872.509999999995</v>
      </c>
      <c r="F20" s="2">
        <v>52481.24</v>
      </c>
      <c r="G20" s="2">
        <v>80240.899999999994</v>
      </c>
      <c r="H20" t="s">
        <v>1</v>
      </c>
    </row>
    <row r="21" spans="1:8" x14ac:dyDescent="0.25">
      <c r="B21" t="s">
        <v>71</v>
      </c>
      <c r="C21" s="2">
        <v>6769.94</v>
      </c>
      <c r="D21" s="2">
        <v>9055.99</v>
      </c>
      <c r="E21" s="2">
        <v>8182.34</v>
      </c>
      <c r="F21" s="2">
        <v>6010.87</v>
      </c>
      <c r="G21" s="2">
        <v>13701.18</v>
      </c>
      <c r="H21" t="s">
        <v>1</v>
      </c>
    </row>
    <row r="22" spans="1:8" x14ac:dyDescent="0.25">
      <c r="A22" t="s">
        <v>102</v>
      </c>
      <c r="B22" t="s">
        <v>72</v>
      </c>
      <c r="C22">
        <v>0</v>
      </c>
      <c r="D22">
        <v>0</v>
      </c>
      <c r="E22">
        <v>0</v>
      </c>
      <c r="F22">
        <v>0</v>
      </c>
      <c r="G22">
        <v>0</v>
      </c>
      <c r="H22" t="s">
        <v>1</v>
      </c>
    </row>
    <row r="23" spans="1:8" x14ac:dyDescent="0.25">
      <c r="B23" t="s">
        <v>73</v>
      </c>
      <c r="C23" s="2">
        <v>6769.94</v>
      </c>
      <c r="D23" s="2">
        <v>9055.99</v>
      </c>
      <c r="E23" s="2">
        <v>8182.34</v>
      </c>
      <c r="F23" s="2">
        <v>6010.87</v>
      </c>
      <c r="G23" s="2">
        <v>13701.18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 s="2">
        <v>1683.86</v>
      </c>
      <c r="D25" s="2">
        <v>2493.09</v>
      </c>
      <c r="E25" s="2">
        <v>2116.1999999999998</v>
      </c>
      <c r="F25" s="2">
        <v>1591.88</v>
      </c>
      <c r="G25" s="2">
        <v>3159.89</v>
      </c>
      <c r="H25" t="s">
        <v>1</v>
      </c>
    </row>
    <row r="26" spans="1:8" x14ac:dyDescent="0.25"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>
        <v>459.1</v>
      </c>
      <c r="D27">
        <v>810.12</v>
      </c>
      <c r="E27" s="2">
        <v>-2102.0700000000002</v>
      </c>
      <c r="F27">
        <v>-15.57</v>
      </c>
      <c r="G27">
        <v>0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 s="2">
        <v>2122.85</v>
      </c>
      <c r="D29" s="2">
        <v>3278.42</v>
      </c>
      <c r="E29">
        <v>914.3</v>
      </c>
      <c r="F29" s="2">
        <v>1582.63</v>
      </c>
      <c r="G29" s="2">
        <v>3159.89</v>
      </c>
      <c r="H29" t="s">
        <v>1</v>
      </c>
    </row>
    <row r="30" spans="1:8" x14ac:dyDescent="0.25">
      <c r="B30" t="s">
        <v>80</v>
      </c>
      <c r="C30" s="2">
        <v>4647.09</v>
      </c>
      <c r="D30" s="2">
        <v>5777.57</v>
      </c>
      <c r="E30" s="2">
        <v>7268.04</v>
      </c>
      <c r="F30" s="2">
        <v>4428.24</v>
      </c>
      <c r="G30" s="2">
        <v>10541.29</v>
      </c>
      <c r="H30" t="s">
        <v>1</v>
      </c>
    </row>
    <row r="31" spans="1:8" x14ac:dyDescent="0.25">
      <c r="B31" t="s">
        <v>81</v>
      </c>
      <c r="C31" s="2">
        <v>4647.09</v>
      </c>
      <c r="D31" s="2">
        <v>5777.57</v>
      </c>
      <c r="E31" s="2">
        <v>7268.04</v>
      </c>
      <c r="F31" s="2">
        <v>4428.24</v>
      </c>
      <c r="G31" s="2">
        <v>10541.29</v>
      </c>
      <c r="H31" t="s">
        <v>1</v>
      </c>
    </row>
    <row r="32" spans="1:8" x14ac:dyDescent="0.25">
      <c r="B32" t="s">
        <v>82</v>
      </c>
      <c r="C32" s="2">
        <v>4651.8</v>
      </c>
      <c r="D32" s="2">
        <v>5777.57</v>
      </c>
      <c r="E32" s="2">
        <v>7268.04</v>
      </c>
      <c r="F32" s="2">
        <v>4428.24</v>
      </c>
      <c r="G32" s="2">
        <v>10541.29</v>
      </c>
      <c r="H32" t="s">
        <v>1</v>
      </c>
    </row>
    <row r="33" spans="1:8" x14ac:dyDescent="0.25">
      <c r="B33" t="s">
        <v>10</v>
      </c>
      <c r="C33">
        <v>-5.98</v>
      </c>
      <c r="D33">
        <v>-7.03</v>
      </c>
      <c r="E33">
        <v>-92.59</v>
      </c>
      <c r="F33">
        <v>-6.47</v>
      </c>
      <c r="G33">
        <v>-47.56</v>
      </c>
      <c r="H33" t="s">
        <v>1</v>
      </c>
    </row>
    <row r="34" spans="1:8" x14ac:dyDescent="0.25">
      <c r="B34" t="s">
        <v>83</v>
      </c>
      <c r="C34" s="2">
        <v>4799.07</v>
      </c>
      <c r="D34" s="2">
        <v>6545.74</v>
      </c>
      <c r="E34" s="2">
        <v>9422.0499999999993</v>
      </c>
      <c r="F34" s="2">
        <v>6136.35</v>
      </c>
      <c r="G34" s="2">
        <v>12256.07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21</v>
      </c>
      <c r="D37">
        <v>29</v>
      </c>
      <c r="E37">
        <v>21</v>
      </c>
      <c r="F37">
        <v>14</v>
      </c>
      <c r="G37">
        <v>28</v>
      </c>
      <c r="H37" t="s">
        <v>1</v>
      </c>
    </row>
    <row r="38" spans="1:8" x14ac:dyDescent="0.25">
      <c r="B38" t="s">
        <v>86</v>
      </c>
      <c r="C38">
        <v>21</v>
      </c>
      <c r="D38">
        <v>29</v>
      </c>
      <c r="E38">
        <v>21</v>
      </c>
      <c r="F38">
        <v>14</v>
      </c>
      <c r="G38">
        <v>28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>
        <v>2106.86</v>
      </c>
      <c r="D40" s="2">
        <v>1734.15</v>
      </c>
      <c r="E40" s="2">
        <v>3285.64</v>
      </c>
      <c r="F40" s="2">
        <v>2238.58</v>
      </c>
      <c r="G40" s="2">
        <v>0</v>
      </c>
      <c r="H40" t="s">
        <v>1</v>
      </c>
    </row>
    <row r="41" spans="1:8" x14ac:dyDescent="0.25">
      <c r="A41" t="s">
        <v>104</v>
      </c>
      <c r="B41" t="s">
        <v>89</v>
      </c>
      <c r="C41">
        <v>0</v>
      </c>
      <c r="D41">
        <v>356.46</v>
      </c>
      <c r="E41">
        <v>675.37</v>
      </c>
      <c r="F41">
        <v>0</v>
      </c>
      <c r="G41">
        <v>0</v>
      </c>
      <c r="H41" t="s">
        <v>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174CC-8BB5-4853-951E-DE3AB840BA46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172</v>
      </c>
      <c r="C5" s="14"/>
      <c r="D5" s="14"/>
      <c r="E5" s="14"/>
      <c r="F5" s="14"/>
      <c r="G5" s="14"/>
    </row>
    <row r="6" spans="2:7" ht="18.75" x14ac:dyDescent="0.25">
      <c r="B6" s="15" t="str">
        <f>'Income Statement'!B19</f>
        <v>PBIT</v>
      </c>
      <c r="C6" s="16">
        <f>'Income Statement'!C19</f>
        <v>43613.75</v>
      </c>
      <c r="D6" s="16">
        <f>'Income Statement'!D19</f>
        <v>63153.410000000011</v>
      </c>
      <c r="E6" s="16">
        <f>'Income Statement'!E19</f>
        <v>60787.999999999985</v>
      </c>
      <c r="F6" s="16">
        <f>'Income Statement'!F19</f>
        <v>45789.33</v>
      </c>
      <c r="G6" s="16">
        <f>'Income Statement'!G19</f>
        <v>72907.560000000012</v>
      </c>
    </row>
    <row r="7" spans="2:7" ht="18.75" x14ac:dyDescent="0.25">
      <c r="B7" s="15" t="str">
        <f>'Income Statement'!B20</f>
        <v>Finance Costs</v>
      </c>
      <c r="C7" s="16">
        <f>'Income Statement'!C20</f>
        <v>294.91000000000003</v>
      </c>
      <c r="D7" s="16">
        <f>'Income Statement'!D20</f>
        <v>159.19999999999999</v>
      </c>
      <c r="E7" s="16">
        <f>'Income Statement'!E20</f>
        <v>308.94</v>
      </c>
      <c r="F7" s="16">
        <f>'Income Statement'!F20</f>
        <v>179.27</v>
      </c>
      <c r="G7" s="16">
        <f>'Income Statement'!G20</f>
        <v>202.48</v>
      </c>
    </row>
    <row r="8" spans="2:7" ht="18.75" x14ac:dyDescent="0.25">
      <c r="B8" s="17" t="s">
        <v>173</v>
      </c>
      <c r="C8" s="17">
        <f>ROUND(C6/C7, 2)</f>
        <v>147.88999999999999</v>
      </c>
      <c r="D8" s="17">
        <f t="shared" ref="D8:G8" si="0">ROUND(D6/D7, 2)</f>
        <v>396.69</v>
      </c>
      <c r="E8" s="17">
        <f t="shared" si="0"/>
        <v>196.76</v>
      </c>
      <c r="F8" s="17">
        <f t="shared" si="0"/>
        <v>255.42</v>
      </c>
      <c r="G8" s="17">
        <f t="shared" si="0"/>
        <v>360.07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1436A-7005-4406-88D3-EC87F3F4287A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174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4140.8999999999996</v>
      </c>
      <c r="D6" s="16">
        <f>'Income Statement'!D11</f>
        <v>5079.83</v>
      </c>
      <c r="E6" s="16">
        <f>'Income Statement'!E11</f>
        <v>4411.97</v>
      </c>
      <c r="F6" s="16">
        <f>'Income Statement'!F11</f>
        <v>3905.88</v>
      </c>
      <c r="G6" s="16">
        <f>'Income Statement'!G11</f>
        <v>11103.28</v>
      </c>
    </row>
    <row r="7" spans="2:7" ht="18.75" x14ac:dyDescent="0.25">
      <c r="B7" s="15" t="str">
        <f>'Income Statement'!B7</f>
        <v>Net Sales</v>
      </c>
      <c r="C7" s="16">
        <f>'Income Statement'!C7</f>
        <v>54358.13</v>
      </c>
      <c r="D7" s="16">
        <f>'Income Statement'!D7</f>
        <v>75867.740000000005</v>
      </c>
      <c r="E7" s="16">
        <f>'Income Statement'!E7</f>
        <v>72364.28</v>
      </c>
      <c r="F7" s="16">
        <f>'Income Statement'!F7</f>
        <v>57151.770000000004</v>
      </c>
      <c r="G7" s="16">
        <f>'Income Statement'!G7</f>
        <v>92769.83</v>
      </c>
    </row>
    <row r="8" spans="2:7" ht="18.75" x14ac:dyDescent="0.25">
      <c r="B8" s="17" t="s">
        <v>175</v>
      </c>
      <c r="C8" s="17">
        <f>ROUND(C6/C7, 2)</f>
        <v>0.08</v>
      </c>
      <c r="D8" s="17">
        <f t="shared" ref="D8:G8" si="0">ROUND(D6/D7, 2)</f>
        <v>7.0000000000000007E-2</v>
      </c>
      <c r="E8" s="17">
        <f t="shared" si="0"/>
        <v>0.06</v>
      </c>
      <c r="F8" s="17">
        <f t="shared" si="0"/>
        <v>7.0000000000000007E-2</v>
      </c>
      <c r="G8" s="17">
        <f t="shared" si="0"/>
        <v>0.12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F5DCC-64C5-431E-A395-2719050EB471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3" width="11.5703125" bestFit="1" customWidth="1"/>
    <col min="4" max="4" width="13.140625" bestFit="1" customWidth="1"/>
    <col min="5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176</v>
      </c>
      <c r="C5" s="14"/>
      <c r="D5" s="14"/>
      <c r="E5" s="14"/>
      <c r="F5" s="14"/>
      <c r="G5" s="14"/>
    </row>
    <row r="6" spans="2:7" ht="18.75" x14ac:dyDescent="0.25">
      <c r="B6" s="15" t="str">
        <f>'Balance Sheet'!B38</f>
        <v>Cash And Cash Equivalents</v>
      </c>
      <c r="C6" s="16">
        <f>'Balance Sheet'!C38</f>
        <v>2858.54</v>
      </c>
      <c r="D6" s="16">
        <f>'Balance Sheet'!D38</f>
        <v>56391.390000000014</v>
      </c>
      <c r="E6" s="16">
        <f>'Balance Sheet'!E38</f>
        <v>112891.29</v>
      </c>
      <c r="F6" s="16">
        <f>'Balance Sheet'!F38</f>
        <v>153644.59</v>
      </c>
      <c r="G6" s="16">
        <f>'Balance Sheet'!G38</f>
        <v>215457.40000000002</v>
      </c>
    </row>
    <row r="7" spans="2:7" ht="18.75" x14ac:dyDescent="0.25">
      <c r="B7" s="15" t="str">
        <f>'Income Statement'!B11</f>
        <v>Cost Of Materials Consumed</v>
      </c>
      <c r="C7" s="16">
        <f>'Income Statement'!C11</f>
        <v>4140.8999999999996</v>
      </c>
      <c r="D7" s="16">
        <f>'Income Statement'!D11</f>
        <v>5079.83</v>
      </c>
      <c r="E7" s="16">
        <f>'Income Statement'!E11</f>
        <v>4411.97</v>
      </c>
      <c r="F7" s="16">
        <f>'Income Statement'!F11</f>
        <v>3905.88</v>
      </c>
      <c r="G7" s="16">
        <f>'Income Statement'!G11</f>
        <v>11103.28</v>
      </c>
    </row>
    <row r="8" spans="2:7" ht="18.75" x14ac:dyDescent="0.25">
      <c r="B8" s="17" t="s">
        <v>177</v>
      </c>
      <c r="C8" s="17">
        <f>ROUND(C6/C7*365, 2)</f>
        <v>251.97</v>
      </c>
      <c r="D8" s="17">
        <f t="shared" ref="D8:G8" si="0">ROUND(D6/D7*365, 2)</f>
        <v>4051.88</v>
      </c>
      <c r="E8" s="17">
        <f t="shared" si="0"/>
        <v>9339.44</v>
      </c>
      <c r="F8" s="17">
        <f t="shared" si="0"/>
        <v>14357.91</v>
      </c>
      <c r="G8" s="17">
        <f t="shared" si="0"/>
        <v>7082.77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F4707-6D6F-4967-9241-675BA7603695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3" width="12.28515625" bestFit="1" customWidth="1"/>
    <col min="4" max="4" width="14" bestFit="1" customWidth="1"/>
    <col min="5" max="6" width="15.5703125" bestFit="1" customWidth="1"/>
    <col min="7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178</v>
      </c>
      <c r="C5" s="14"/>
      <c r="D5" s="14"/>
      <c r="E5" s="14"/>
      <c r="F5" s="14"/>
      <c r="G5" s="14"/>
    </row>
    <row r="6" spans="2:7" ht="18.75" x14ac:dyDescent="0.25">
      <c r="B6" s="15" t="str">
        <f>'Balance Sheet'!B38</f>
        <v>Cash And Cash Equivalents</v>
      </c>
      <c r="C6" s="16">
        <f>'Balance Sheet'!C38</f>
        <v>2858.54</v>
      </c>
      <c r="D6" s="16">
        <f>'Balance Sheet'!D38</f>
        <v>56391.390000000014</v>
      </c>
      <c r="E6" s="16">
        <f>'Balance Sheet'!E38</f>
        <v>112891.29</v>
      </c>
      <c r="F6" s="16">
        <f>'Balance Sheet'!F38</f>
        <v>153644.59</v>
      </c>
      <c r="G6" s="16">
        <f>'Balance Sheet'!G38</f>
        <v>215457.40000000002</v>
      </c>
    </row>
    <row r="7" spans="2:7" ht="18.75" x14ac:dyDescent="0.25">
      <c r="B7" s="15" t="s">
        <v>179</v>
      </c>
      <c r="C7" s="16">
        <v>365</v>
      </c>
      <c r="D7" s="16">
        <v>365</v>
      </c>
      <c r="E7" s="16">
        <v>365</v>
      </c>
      <c r="F7" s="16">
        <v>365</v>
      </c>
      <c r="G7" s="16">
        <v>365</v>
      </c>
    </row>
    <row r="8" spans="2:7" ht="18.75" x14ac:dyDescent="0.25">
      <c r="B8" s="17" t="s">
        <v>180</v>
      </c>
      <c r="C8" s="17">
        <f>ROUND(C6/C7*365, 2)</f>
        <v>2858.54</v>
      </c>
      <c r="D8" s="17">
        <f t="shared" ref="D8:G8" si="0">ROUND(D6/D7*365, 2)</f>
        <v>56391.39</v>
      </c>
      <c r="E8" s="17">
        <f t="shared" si="0"/>
        <v>112891.29</v>
      </c>
      <c r="F8" s="17">
        <f t="shared" si="0"/>
        <v>153644.59</v>
      </c>
      <c r="G8" s="17">
        <f t="shared" si="0"/>
        <v>215457.4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C897D-B1A9-43C8-9174-A6CACEFCCD28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3" width="13.140625" bestFit="1" customWidth="1"/>
    <col min="4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181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54556.09</v>
      </c>
      <c r="D6" s="16">
        <f>'Income Statement'!D5</f>
        <v>75912.02</v>
      </c>
      <c r="E6" s="16">
        <f>'Income Statement'!E5</f>
        <v>72423.56</v>
      </c>
      <c r="F6" s="16">
        <f>'Income Statement'!F5</f>
        <v>57208.12</v>
      </c>
      <c r="G6" s="16">
        <f>'Income Statement'!G5</f>
        <v>92873.82</v>
      </c>
    </row>
    <row r="7" spans="2:7" ht="18.75" x14ac:dyDescent="0.25">
      <c r="B7" s="15" t="str">
        <f>'Balance Sheet'!B40</f>
        <v>Total Assets</v>
      </c>
      <c r="C7" s="16">
        <f>'Balance Sheet'!C40</f>
        <v>61334.14</v>
      </c>
      <c r="D7" s="16">
        <f>'Balance Sheet'!D40</f>
        <v>121707.05000000002</v>
      </c>
      <c r="E7" s="16">
        <f>'Balance Sheet'!E40</f>
        <v>182808.5</v>
      </c>
      <c r="F7" s="16">
        <f>'Balance Sheet'!F40</f>
        <v>227084.28999999998</v>
      </c>
      <c r="G7" s="16">
        <f>'Balance Sheet'!G40</f>
        <v>300871.98000000004</v>
      </c>
    </row>
    <row r="8" spans="2:7" ht="18.75" x14ac:dyDescent="0.25">
      <c r="B8" s="17" t="s">
        <v>182</v>
      </c>
      <c r="C8" s="17">
        <f>ROUND(C6/C7, 2)</f>
        <v>0.89</v>
      </c>
      <c r="D8" s="17">
        <f t="shared" ref="D8:G8" si="0">ROUND(D6/D7, 2)</f>
        <v>0.62</v>
      </c>
      <c r="E8" s="17">
        <f t="shared" si="0"/>
        <v>0.4</v>
      </c>
      <c r="F8" s="17">
        <f t="shared" si="0"/>
        <v>0.25</v>
      </c>
      <c r="G8" s="17">
        <f t="shared" si="0"/>
        <v>0.31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37708-6C3D-4525-8DE1-A8E3461ED922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183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54556.09</v>
      </c>
      <c r="D6" s="16">
        <f>'Income Statement'!D5</f>
        <v>75912.02</v>
      </c>
      <c r="E6" s="16">
        <f>'Income Statement'!E5</f>
        <v>72423.56</v>
      </c>
      <c r="F6" s="16">
        <f>'Income Statement'!F5</f>
        <v>57208.12</v>
      </c>
      <c r="G6" s="16">
        <f>'Income Statement'!G5</f>
        <v>92873.82</v>
      </c>
    </row>
    <row r="7" spans="2:7" ht="18.75" x14ac:dyDescent="0.25">
      <c r="B7" s="15" t="str">
        <f>'Balance Sheet'!B36</f>
        <v>Inventories</v>
      </c>
      <c r="C7" s="16">
        <f>'Balance Sheet'!C36</f>
        <v>1932.51</v>
      </c>
      <c r="D7" s="16">
        <f>'Balance Sheet'!D36</f>
        <v>2502.64</v>
      </c>
      <c r="E7" s="16">
        <f>'Balance Sheet'!E36</f>
        <v>3183.01</v>
      </c>
      <c r="F7" s="16">
        <f>'Balance Sheet'!F36</f>
        <v>2989.73</v>
      </c>
      <c r="G7" s="16">
        <f>'Balance Sheet'!G36</f>
        <v>3576.61</v>
      </c>
    </row>
    <row r="8" spans="2:7" ht="18.75" x14ac:dyDescent="0.25">
      <c r="B8" s="17" t="s">
        <v>184</v>
      </c>
      <c r="C8" s="17">
        <f>ROUND(C6/C7, 2)</f>
        <v>28.23</v>
      </c>
      <c r="D8" s="17">
        <f t="shared" ref="D8:G8" si="0">ROUND(D6/D7, 2)</f>
        <v>30.33</v>
      </c>
      <c r="E8" s="17">
        <f t="shared" si="0"/>
        <v>22.75</v>
      </c>
      <c r="F8" s="17">
        <f t="shared" si="0"/>
        <v>19.13</v>
      </c>
      <c r="G8" s="17">
        <f t="shared" si="0"/>
        <v>25.97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B89EA-B5E4-4AD8-AF5E-F62B8F715C98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185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54556.09</v>
      </c>
      <c r="D6" s="16">
        <f>'Income Statement'!D5</f>
        <v>75912.02</v>
      </c>
      <c r="E6" s="16">
        <f>'Income Statement'!E5</f>
        <v>72423.56</v>
      </c>
      <c r="F6" s="16">
        <f>'Income Statement'!F5</f>
        <v>57208.12</v>
      </c>
      <c r="G6" s="16">
        <f>'Income Statement'!G5</f>
        <v>92873.82</v>
      </c>
    </row>
    <row r="7" spans="2:7" ht="18.75" x14ac:dyDescent="0.25">
      <c r="B7" s="15" t="str">
        <f>'Balance Sheet'!B37</f>
        <v>Trade Receivables</v>
      </c>
      <c r="C7" s="16">
        <f>'Balance Sheet'!C37</f>
        <v>3429.56</v>
      </c>
      <c r="D7" s="16">
        <f>'Balance Sheet'!D37</f>
        <v>4363.3900000000003</v>
      </c>
      <c r="E7" s="16">
        <f>'Balance Sheet'!E37</f>
        <v>4818.3100000000004</v>
      </c>
      <c r="F7" s="16">
        <f>'Balance Sheet'!F37</f>
        <v>3501.5</v>
      </c>
      <c r="G7" s="16">
        <f>'Balance Sheet'!G37</f>
        <v>7446.53</v>
      </c>
    </row>
    <row r="8" spans="2:7" ht="18.75" x14ac:dyDescent="0.25">
      <c r="B8" s="17" t="s">
        <v>186</v>
      </c>
      <c r="C8" s="17">
        <f>ROUND(C6/C7, 2)</f>
        <v>15.91</v>
      </c>
      <c r="D8" s="17">
        <f t="shared" ref="D8:G8" si="0">ROUND(D6/D7, 2)</f>
        <v>17.399999999999999</v>
      </c>
      <c r="E8" s="17">
        <f t="shared" si="0"/>
        <v>15.03</v>
      </c>
      <c r="F8" s="17">
        <f t="shared" si="0"/>
        <v>16.34</v>
      </c>
      <c r="G8" s="17">
        <f t="shared" si="0"/>
        <v>12.47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3484B-5058-4DAE-BDCC-916621596BE4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187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54556.09</v>
      </c>
      <c r="D6" s="16">
        <f>'Income Statement'!D5</f>
        <v>75912.02</v>
      </c>
      <c r="E6" s="16">
        <f>'Income Statement'!E5</f>
        <v>72423.56</v>
      </c>
      <c r="F6" s="16">
        <f>'Income Statement'!F5</f>
        <v>57208.12</v>
      </c>
      <c r="G6" s="16">
        <f>'Income Statement'!G5</f>
        <v>92873.82</v>
      </c>
    </row>
    <row r="7" spans="2:7" ht="18.75" x14ac:dyDescent="0.25">
      <c r="B7" s="15" t="str">
        <f>'Balance Sheet'!B23</f>
        <v>Tangible Assets</v>
      </c>
      <c r="C7" s="16">
        <f>'Balance Sheet'!C23</f>
        <v>29416.84</v>
      </c>
      <c r="D7" s="16">
        <f>'Balance Sheet'!D23</f>
        <v>31287.77</v>
      </c>
      <c r="E7" s="16">
        <f>'Balance Sheet'!E23</f>
        <v>36349.26</v>
      </c>
      <c r="F7" s="16">
        <f>'Balance Sheet'!F23</f>
        <v>38859.660000000003</v>
      </c>
      <c r="G7" s="16">
        <f>'Balance Sheet'!G23</f>
        <v>60062.46</v>
      </c>
    </row>
    <row r="8" spans="2:7" ht="18.75" x14ac:dyDescent="0.25">
      <c r="B8" s="17" t="s">
        <v>188</v>
      </c>
      <c r="C8" s="17">
        <f>ROUND(C6/C7, 2)</f>
        <v>1.85</v>
      </c>
      <c r="D8" s="17">
        <f t="shared" ref="D8:G8" si="0">ROUND(D6/D7, 2)</f>
        <v>2.4300000000000002</v>
      </c>
      <c r="E8" s="17">
        <f t="shared" si="0"/>
        <v>1.99</v>
      </c>
      <c r="F8" s="17">
        <f t="shared" si="0"/>
        <v>1.47</v>
      </c>
      <c r="G8" s="17">
        <f t="shared" si="0"/>
        <v>1.55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D8644-C961-4C70-AC32-819B25F3DB70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189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4140.8999999999996</v>
      </c>
      <c r="D6" s="16">
        <f>'Income Statement'!D11</f>
        <v>5079.83</v>
      </c>
      <c r="E6" s="16">
        <f>'Income Statement'!E11</f>
        <v>4411.97</v>
      </c>
      <c r="F6" s="16">
        <f>'Income Statement'!F11</f>
        <v>3905.88</v>
      </c>
      <c r="G6" s="16">
        <f>'Income Statement'!G11</f>
        <v>11103.28</v>
      </c>
    </row>
    <row r="7" spans="2:7" ht="18.75" x14ac:dyDescent="0.25">
      <c r="B7" s="15" t="str">
        <f>'Balance Sheet'!B19</f>
        <v>Total Current Liabilities</v>
      </c>
      <c r="C7" s="16">
        <f>'Balance Sheet'!C19</f>
        <v>12481.24</v>
      </c>
      <c r="D7" s="16">
        <f>'Balance Sheet'!D19</f>
        <v>13776.74</v>
      </c>
      <c r="E7" s="16">
        <f>'Balance Sheet'!E19</f>
        <v>15182.099999999999</v>
      </c>
      <c r="F7" s="16">
        <f>'Balance Sheet'!F19</f>
        <v>17256.37</v>
      </c>
      <c r="G7" s="16">
        <f>'Balance Sheet'!G19</f>
        <v>20224.45</v>
      </c>
    </row>
    <row r="8" spans="2:7" ht="18.75" x14ac:dyDescent="0.25">
      <c r="B8" s="17" t="s">
        <v>190</v>
      </c>
      <c r="C8" s="17">
        <f>ROUND(C6/C7, 2)</f>
        <v>0.33</v>
      </c>
      <c r="D8" s="17">
        <f t="shared" ref="D8:G8" si="0">ROUND(D6/D7, 2)</f>
        <v>0.37</v>
      </c>
      <c r="E8" s="17">
        <f t="shared" si="0"/>
        <v>0.28999999999999998</v>
      </c>
      <c r="F8" s="17">
        <f t="shared" si="0"/>
        <v>0.23</v>
      </c>
      <c r="G8" s="17">
        <f t="shared" si="0"/>
        <v>0.55000000000000004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555D8-A3EC-4D77-B1F7-4AF413852723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191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54556.09</v>
      </c>
      <c r="D6" s="16">
        <f>'Income Statement'!D5</f>
        <v>75912.02</v>
      </c>
      <c r="E6" s="16">
        <f>'Income Statement'!E5</f>
        <v>72423.56</v>
      </c>
      <c r="F6" s="16">
        <f>'Income Statement'!F5</f>
        <v>57208.12</v>
      </c>
      <c r="G6" s="16">
        <f>'Income Statement'!G5</f>
        <v>92873.82</v>
      </c>
    </row>
    <row r="7" spans="2:7" ht="18.75" x14ac:dyDescent="0.25">
      <c r="B7" s="15" t="str">
        <f>'Balance Sheet'!B36</f>
        <v>Inventories</v>
      </c>
      <c r="C7" s="16">
        <f>'Balance Sheet'!C36</f>
        <v>1932.51</v>
      </c>
      <c r="D7" s="16">
        <f>'Balance Sheet'!D36</f>
        <v>2502.64</v>
      </c>
      <c r="E7" s="16">
        <f>'Balance Sheet'!E36</f>
        <v>3183.01</v>
      </c>
      <c r="F7" s="16">
        <f>'Balance Sheet'!F36</f>
        <v>2989.73</v>
      </c>
      <c r="G7" s="16">
        <f>'Balance Sheet'!G36</f>
        <v>3576.61</v>
      </c>
    </row>
    <row r="8" spans="2:7" ht="18.75" x14ac:dyDescent="0.25">
      <c r="B8" s="17" t="s">
        <v>192</v>
      </c>
      <c r="C8" s="17">
        <f>ROUND(365/C6*C7, 2)</f>
        <v>12.93</v>
      </c>
      <c r="D8" s="17">
        <f t="shared" ref="D8:G8" si="0">ROUND(365/D6*D7, 2)</f>
        <v>12.03</v>
      </c>
      <c r="E8" s="17">
        <f t="shared" si="0"/>
        <v>16.04</v>
      </c>
      <c r="F8" s="17">
        <f t="shared" si="0"/>
        <v>19.079999999999998</v>
      </c>
      <c r="G8" s="17">
        <f t="shared" si="0"/>
        <v>14.06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61CAD-1220-4CE4-9248-51AAE467D7A0}">
  <dimension ref="B3:G35"/>
  <sheetViews>
    <sheetView showGridLines="0" topLeftCell="A13" workbookViewId="0">
      <selection activeCell="C30" sqref="C30:G30"/>
    </sheetView>
  </sheetViews>
  <sheetFormatPr defaultRowHeight="15" x14ac:dyDescent="0.25"/>
  <cols>
    <col min="2" max="2" width="57.140625" bestFit="1" customWidth="1"/>
    <col min="3" max="3" width="17.140625" bestFit="1" customWidth="1"/>
    <col min="4" max="7" width="18.85546875" bestFit="1" customWidth="1"/>
  </cols>
  <sheetData>
    <row r="3" spans="2:7" ht="18.75" x14ac:dyDescent="0.25">
      <c r="B3" s="10" t="s">
        <v>120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97</v>
      </c>
      <c r="C5" s="5">
        <v>54556.09</v>
      </c>
      <c r="D5" s="5">
        <v>75912.02</v>
      </c>
      <c r="E5" s="5">
        <v>72423.56</v>
      </c>
      <c r="F5" s="5">
        <v>57208.12</v>
      </c>
      <c r="G5" s="5">
        <v>92873.82</v>
      </c>
    </row>
    <row r="6" spans="2:7" ht="18.75" x14ac:dyDescent="0.25">
      <c r="B6" s="8" t="s">
        <v>98</v>
      </c>
      <c r="C6" s="4">
        <v>197.96</v>
      </c>
      <c r="D6" s="4">
        <v>44.28</v>
      </c>
      <c r="E6" s="4">
        <v>59.28</v>
      </c>
      <c r="F6" s="4">
        <v>56.35</v>
      </c>
      <c r="G6" s="4">
        <v>103.99</v>
      </c>
    </row>
    <row r="7" spans="2:7" ht="18.75" x14ac:dyDescent="0.25">
      <c r="B7" s="9" t="s">
        <v>105</v>
      </c>
      <c r="C7" s="7">
        <f>C5 - C6</f>
        <v>54358.13</v>
      </c>
      <c r="D7" s="7">
        <f t="shared" ref="D7:G7" si="0">D5 - D6</f>
        <v>75867.740000000005</v>
      </c>
      <c r="E7" s="7">
        <f t="shared" si="0"/>
        <v>72364.28</v>
      </c>
      <c r="F7" s="7">
        <f t="shared" si="0"/>
        <v>57151.770000000004</v>
      </c>
      <c r="G7" s="7">
        <f t="shared" si="0"/>
        <v>92769.83</v>
      </c>
    </row>
    <row r="8" spans="2:7" ht="18.75" x14ac:dyDescent="0.25">
      <c r="B8" s="8" t="s">
        <v>59</v>
      </c>
      <c r="C8" s="5">
        <v>812.72</v>
      </c>
      <c r="D8" s="5">
        <v>1214.27</v>
      </c>
      <c r="E8" s="5">
        <v>1537.15</v>
      </c>
      <c r="F8" s="5">
        <v>1120.2</v>
      </c>
      <c r="G8" s="4">
        <v>1172.25</v>
      </c>
    </row>
    <row r="9" spans="2:7" ht="18.75" x14ac:dyDescent="0.25">
      <c r="B9" s="8" t="s">
        <v>106</v>
      </c>
      <c r="C9" s="4"/>
      <c r="D9" s="4"/>
      <c r="E9" s="4"/>
      <c r="F9" s="4"/>
      <c r="G9" s="4"/>
    </row>
    <row r="10" spans="2:7" ht="18.75" x14ac:dyDescent="0.25">
      <c r="B10" s="9" t="s">
        <v>107</v>
      </c>
      <c r="C10" s="7">
        <f>SUM(C7:C9)</f>
        <v>55170.85</v>
      </c>
      <c r="D10" s="7">
        <f t="shared" ref="D10:G10" si="1">SUM(D7:D9)</f>
        <v>77082.010000000009</v>
      </c>
      <c r="E10" s="7">
        <f t="shared" si="1"/>
        <v>73901.429999999993</v>
      </c>
      <c r="F10" s="7">
        <f t="shared" si="1"/>
        <v>58271.97</v>
      </c>
      <c r="G10" s="7">
        <f t="shared" si="1"/>
        <v>93942.080000000002</v>
      </c>
    </row>
    <row r="11" spans="2:7" ht="18.75" x14ac:dyDescent="0.25">
      <c r="B11" s="8" t="s">
        <v>62</v>
      </c>
      <c r="C11" s="5">
        <v>4140.8999999999996</v>
      </c>
      <c r="D11" s="5">
        <v>5079.83</v>
      </c>
      <c r="E11" s="5">
        <v>4411.97</v>
      </c>
      <c r="F11" s="5">
        <v>3905.88</v>
      </c>
      <c r="G11" s="5">
        <v>11103.28</v>
      </c>
    </row>
    <row r="12" spans="2:7" ht="18.75" x14ac:dyDescent="0.25">
      <c r="B12" s="8" t="s">
        <v>64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</row>
    <row r="13" spans="2:7" ht="18.75" x14ac:dyDescent="0.25">
      <c r="B13" s="8" t="s">
        <v>66</v>
      </c>
      <c r="C13" s="5">
        <v>1345.61</v>
      </c>
      <c r="D13" s="5">
        <v>1863.2</v>
      </c>
      <c r="E13" s="5">
        <v>1633.74</v>
      </c>
      <c r="F13" s="5">
        <v>1645.89</v>
      </c>
      <c r="G13" s="5">
        <v>1815.55</v>
      </c>
    </row>
    <row r="14" spans="2:7" ht="18.75" x14ac:dyDescent="0.25">
      <c r="B14" s="8" t="s">
        <v>69</v>
      </c>
      <c r="C14" s="5">
        <v>4543.7</v>
      </c>
      <c r="D14" s="5">
        <v>5318.93</v>
      </c>
      <c r="E14" s="5">
        <v>4987.5600000000004</v>
      </c>
      <c r="F14" s="5">
        <v>4757.05</v>
      </c>
      <c r="G14" s="5">
        <v>5695.52</v>
      </c>
    </row>
    <row r="15" spans="2:7" ht="18.75" x14ac:dyDescent="0.25">
      <c r="B15" s="9" t="s">
        <v>108</v>
      </c>
      <c r="C15" s="7">
        <f>C11+C12+C13+C14</f>
        <v>10030.209999999999</v>
      </c>
      <c r="D15" s="7">
        <f t="shared" ref="D15:G15" si="2">D11+D12+D13+D14</f>
        <v>12261.96</v>
      </c>
      <c r="E15" s="7">
        <f t="shared" si="2"/>
        <v>11033.27</v>
      </c>
      <c r="F15" s="7">
        <f t="shared" si="2"/>
        <v>10308.82</v>
      </c>
      <c r="G15" s="7">
        <f t="shared" si="2"/>
        <v>18614.349999999999</v>
      </c>
    </row>
    <row r="16" spans="2:7" ht="18.75" x14ac:dyDescent="0.25">
      <c r="B16" s="9" t="s">
        <v>109</v>
      </c>
      <c r="C16" s="7">
        <f xml:space="preserve"> C10-C15-C8</f>
        <v>44327.92</v>
      </c>
      <c r="D16" s="7">
        <f t="shared" ref="D16:G16" si="3" xml:space="preserve"> D10-D15-D8</f>
        <v>63605.780000000013</v>
      </c>
      <c r="E16" s="7">
        <f t="shared" si="3"/>
        <v>61331.009999999987</v>
      </c>
      <c r="F16" s="7">
        <f t="shared" si="3"/>
        <v>46842.950000000004</v>
      </c>
      <c r="G16" s="7">
        <f t="shared" si="3"/>
        <v>74155.48000000001</v>
      </c>
    </row>
    <row r="17" spans="2:7" ht="18.75" x14ac:dyDescent="0.25">
      <c r="B17" s="9" t="s">
        <v>110</v>
      </c>
      <c r="C17" s="7">
        <f xml:space="preserve"> C16+C8</f>
        <v>45140.639999999999</v>
      </c>
      <c r="D17" s="7">
        <f t="shared" ref="D17:G17" si="4" xml:space="preserve"> D16+D8</f>
        <v>64820.05000000001</v>
      </c>
      <c r="E17" s="7">
        <f t="shared" si="4"/>
        <v>62868.159999999989</v>
      </c>
      <c r="F17" s="7">
        <f t="shared" si="4"/>
        <v>47963.15</v>
      </c>
      <c r="G17" s="7">
        <f t="shared" si="4"/>
        <v>75327.73000000001</v>
      </c>
    </row>
    <row r="18" spans="2:7" ht="18.75" x14ac:dyDescent="0.25">
      <c r="B18" s="8" t="s">
        <v>68</v>
      </c>
      <c r="C18" s="5">
        <v>1526.89</v>
      </c>
      <c r="D18" s="5">
        <v>1666.64</v>
      </c>
      <c r="E18" s="5">
        <v>2080.16</v>
      </c>
      <c r="F18" s="5">
        <v>2173.8200000000002</v>
      </c>
      <c r="G18" s="5">
        <v>2420.17</v>
      </c>
    </row>
    <row r="19" spans="2:7" ht="18.75" x14ac:dyDescent="0.25">
      <c r="B19" s="9" t="s">
        <v>111</v>
      </c>
      <c r="C19" s="7">
        <f xml:space="preserve"> C17-C18</f>
        <v>43613.75</v>
      </c>
      <c r="D19" s="7">
        <f t="shared" ref="D19:G19" si="5" xml:space="preserve"> D17-D18</f>
        <v>63153.410000000011</v>
      </c>
      <c r="E19" s="7">
        <f t="shared" si="5"/>
        <v>60787.999999999985</v>
      </c>
      <c r="F19" s="7">
        <f t="shared" si="5"/>
        <v>45789.33</v>
      </c>
      <c r="G19" s="7">
        <f t="shared" si="5"/>
        <v>72907.560000000012</v>
      </c>
    </row>
    <row r="20" spans="2:7" ht="18.75" x14ac:dyDescent="0.25">
      <c r="B20" s="8" t="s">
        <v>67</v>
      </c>
      <c r="C20" s="4">
        <v>294.91000000000003</v>
      </c>
      <c r="D20" s="4">
        <v>159.19999999999999</v>
      </c>
      <c r="E20" s="4">
        <v>308.94</v>
      </c>
      <c r="F20" s="4">
        <v>179.27</v>
      </c>
      <c r="G20" s="4">
        <v>202.48</v>
      </c>
    </row>
    <row r="21" spans="2:7" ht="18.75" x14ac:dyDescent="0.25">
      <c r="B21" s="9" t="s">
        <v>112</v>
      </c>
      <c r="C21" s="7">
        <f xml:space="preserve"> C19-C20</f>
        <v>43318.84</v>
      </c>
      <c r="D21" s="7">
        <f t="shared" ref="D21:G21" si="6" xml:space="preserve"> D19-D20</f>
        <v>62994.210000000014</v>
      </c>
      <c r="E21" s="7">
        <f t="shared" si="6"/>
        <v>60479.059999999983</v>
      </c>
      <c r="F21" s="7">
        <f t="shared" si="6"/>
        <v>45610.060000000005</v>
      </c>
      <c r="G21" s="7">
        <f t="shared" si="6"/>
        <v>72705.080000000016</v>
      </c>
    </row>
    <row r="22" spans="2:7" ht="18.75" x14ac:dyDescent="0.25">
      <c r="B22" s="8" t="s">
        <v>113</v>
      </c>
      <c r="C22" s="4"/>
      <c r="D22" s="4"/>
      <c r="E22" s="4"/>
      <c r="F22" s="4"/>
      <c r="G22" s="4"/>
    </row>
    <row r="23" spans="2:7" ht="18.75" x14ac:dyDescent="0.25">
      <c r="B23" s="9" t="s">
        <v>114</v>
      </c>
      <c r="C23" s="7">
        <f xml:space="preserve"> C21+C22</f>
        <v>43318.84</v>
      </c>
      <c r="D23" s="7">
        <f t="shared" ref="D23:G23" si="7" xml:space="preserve"> D21+D22</f>
        <v>62994.210000000014</v>
      </c>
      <c r="E23" s="7">
        <f t="shared" si="7"/>
        <v>60479.059999999983</v>
      </c>
      <c r="F23" s="7">
        <f t="shared" si="7"/>
        <v>45610.060000000005</v>
      </c>
      <c r="G23" s="7">
        <f t="shared" si="7"/>
        <v>72705.080000000016</v>
      </c>
    </row>
    <row r="24" spans="2:7" ht="18.75" x14ac:dyDescent="0.25">
      <c r="B24" s="8" t="s">
        <v>72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</row>
    <row r="25" spans="2:7" ht="18.75" x14ac:dyDescent="0.25">
      <c r="B25" s="9" t="s">
        <v>115</v>
      </c>
      <c r="C25" s="7">
        <f xml:space="preserve"> C23+C24</f>
        <v>43318.84</v>
      </c>
      <c r="D25" s="7">
        <f t="shared" ref="D25:G25" si="8" xml:space="preserve"> D23+D24</f>
        <v>62994.210000000014</v>
      </c>
      <c r="E25" s="7">
        <f t="shared" si="8"/>
        <v>60479.059999999983</v>
      </c>
      <c r="F25" s="7">
        <f t="shared" si="8"/>
        <v>45610.060000000005</v>
      </c>
      <c r="G25" s="7">
        <f t="shared" si="8"/>
        <v>72705.080000000016</v>
      </c>
    </row>
    <row r="26" spans="2:7" ht="18.75" x14ac:dyDescent="0.25">
      <c r="B26" s="8" t="s">
        <v>79</v>
      </c>
      <c r="C26" s="5">
        <v>2122.85</v>
      </c>
      <c r="D26" s="5">
        <v>3278.42</v>
      </c>
      <c r="E26" s="4">
        <v>914.3</v>
      </c>
      <c r="F26" s="5">
        <v>1582.63</v>
      </c>
      <c r="G26" s="5">
        <v>3159.89</v>
      </c>
    </row>
    <row r="27" spans="2:7" ht="18.75" x14ac:dyDescent="0.25">
      <c r="B27" s="9" t="s">
        <v>116</v>
      </c>
      <c r="C27" s="7">
        <f xml:space="preserve"> C25-C26</f>
        <v>41195.99</v>
      </c>
      <c r="D27" s="7">
        <f t="shared" ref="D27:G27" si="9" xml:space="preserve"> D25-D26</f>
        <v>59715.790000000015</v>
      </c>
      <c r="E27" s="7">
        <f t="shared" si="9"/>
        <v>59564.75999999998</v>
      </c>
      <c r="F27" s="7">
        <f t="shared" si="9"/>
        <v>44027.430000000008</v>
      </c>
      <c r="G27" s="7">
        <f t="shared" si="9"/>
        <v>69545.190000000017</v>
      </c>
    </row>
    <row r="28" spans="2:7" ht="18.75" x14ac:dyDescent="0.25">
      <c r="B28" s="8" t="s">
        <v>88</v>
      </c>
      <c r="C28" s="4">
        <v>2106.86</v>
      </c>
      <c r="D28" s="5">
        <v>1734.15</v>
      </c>
      <c r="E28" s="5">
        <v>3285.64</v>
      </c>
      <c r="F28" s="5">
        <v>2238.58</v>
      </c>
      <c r="G28" s="5">
        <v>0</v>
      </c>
    </row>
    <row r="29" spans="2:7" ht="18.75" x14ac:dyDescent="0.25">
      <c r="B29" s="8" t="s">
        <v>89</v>
      </c>
      <c r="C29" s="4">
        <v>0</v>
      </c>
      <c r="D29" s="4">
        <v>356.46</v>
      </c>
      <c r="E29" s="4">
        <v>675.37</v>
      </c>
      <c r="F29" s="4">
        <v>0</v>
      </c>
      <c r="G29" s="4">
        <v>0</v>
      </c>
    </row>
    <row r="30" spans="2:7" ht="18.75" x14ac:dyDescent="0.25">
      <c r="B30" s="9" t="s">
        <v>117</v>
      </c>
      <c r="C30" s="7">
        <f xml:space="preserve"> C27-C28-C29</f>
        <v>39089.129999999997</v>
      </c>
      <c r="D30" s="7">
        <f t="shared" ref="D30:G30" si="10" xml:space="preserve"> D27-D28-D29</f>
        <v>57625.180000000015</v>
      </c>
      <c r="E30" s="7">
        <f t="shared" si="10"/>
        <v>55603.749999999978</v>
      </c>
      <c r="F30" s="7">
        <f t="shared" si="10"/>
        <v>41788.850000000006</v>
      </c>
      <c r="G30" s="7">
        <f t="shared" si="10"/>
        <v>69545.190000000017</v>
      </c>
    </row>
    <row r="31" spans="2:7" ht="18.75" x14ac:dyDescent="0.25">
      <c r="B31" s="8"/>
      <c r="C31" s="4"/>
      <c r="D31" s="4"/>
      <c r="E31" s="4"/>
      <c r="F31" s="4"/>
      <c r="G31" s="4"/>
    </row>
    <row r="32" spans="2:7" ht="18.75" x14ac:dyDescent="0.25">
      <c r="B32" s="8"/>
      <c r="C32" s="4"/>
      <c r="D32" s="4"/>
      <c r="E32" s="4"/>
      <c r="F32" s="4"/>
      <c r="G32" s="4"/>
    </row>
    <row r="33" spans="2:7" ht="18.75" x14ac:dyDescent="0.25">
      <c r="B33" s="8"/>
      <c r="C33" s="4"/>
      <c r="D33" s="4"/>
      <c r="E33" s="4"/>
      <c r="F33" s="4"/>
      <c r="G33" s="4"/>
    </row>
    <row r="34" spans="2:7" ht="18.75" x14ac:dyDescent="0.25">
      <c r="B34" s="8" t="s">
        <v>85</v>
      </c>
      <c r="C34" s="4">
        <v>21</v>
      </c>
      <c r="D34" s="4">
        <v>29</v>
      </c>
      <c r="E34" s="4">
        <v>21</v>
      </c>
      <c r="F34" s="4">
        <v>14</v>
      </c>
      <c r="G34" s="4">
        <v>28</v>
      </c>
    </row>
    <row r="35" spans="2:7" ht="18.75" x14ac:dyDescent="0.25">
      <c r="B35" s="8" t="s">
        <v>118</v>
      </c>
      <c r="C35" s="4">
        <f>C27/C34</f>
        <v>1961.7138095238095</v>
      </c>
      <c r="D35" s="4">
        <f t="shared" ref="D35:G35" si="11">D27/D34</f>
        <v>2059.1651724137937</v>
      </c>
      <c r="E35" s="4">
        <f t="shared" si="11"/>
        <v>2836.4171428571417</v>
      </c>
      <c r="F35" s="4">
        <f t="shared" si="11"/>
        <v>3144.8164285714292</v>
      </c>
      <c r="G35" s="4">
        <f t="shared" si="11"/>
        <v>2483.7567857142863</v>
      </c>
    </row>
  </sheetData>
  <mergeCells count="1">
    <mergeCell ref="B3:G3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35885-44A9-4526-901D-D7D0450B43F4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193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4140.8999999999996</v>
      </c>
      <c r="D6" s="16">
        <f>'Income Statement'!D11</f>
        <v>5079.83</v>
      </c>
      <c r="E6" s="16">
        <f>'Income Statement'!E11</f>
        <v>4411.97</v>
      </c>
      <c r="F6" s="16">
        <f>'Income Statement'!F11</f>
        <v>3905.88</v>
      </c>
      <c r="G6" s="16">
        <f>'Income Statement'!G11</f>
        <v>11103.28</v>
      </c>
    </row>
    <row r="7" spans="2:7" ht="18.75" x14ac:dyDescent="0.25">
      <c r="B7" s="15" t="str">
        <f>'Balance Sheet'!B19</f>
        <v>Total Current Liabilities</v>
      </c>
      <c r="C7" s="16">
        <f>'Balance Sheet'!C19</f>
        <v>12481.24</v>
      </c>
      <c r="D7" s="16">
        <f>'Balance Sheet'!D19</f>
        <v>13776.74</v>
      </c>
      <c r="E7" s="16">
        <f>'Balance Sheet'!E19</f>
        <v>15182.099999999999</v>
      </c>
      <c r="F7" s="16">
        <f>'Balance Sheet'!F19</f>
        <v>17256.37</v>
      </c>
      <c r="G7" s="16">
        <f>'Balance Sheet'!G19</f>
        <v>20224.45</v>
      </c>
    </row>
    <row r="8" spans="2:7" ht="18.75" x14ac:dyDescent="0.25">
      <c r="B8" s="17" t="s">
        <v>194</v>
      </c>
      <c r="C8" s="17">
        <f>ROUND(365/C6*C7, 2)</f>
        <v>1100.1600000000001</v>
      </c>
      <c r="D8" s="17">
        <f t="shared" ref="D8:G8" si="0">ROUND(365/D6*D7, 2)</f>
        <v>989.9</v>
      </c>
      <c r="E8" s="17">
        <f t="shared" si="0"/>
        <v>1256.01</v>
      </c>
      <c r="F8" s="17">
        <f t="shared" si="0"/>
        <v>1612.59</v>
      </c>
      <c r="G8" s="17">
        <f t="shared" si="0"/>
        <v>664.84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91FC7-58CD-46F6-BFE2-4311A548A800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195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54556.09</v>
      </c>
      <c r="D6" s="16">
        <f>'Income Statement'!D5</f>
        <v>75912.02</v>
      </c>
      <c r="E6" s="16">
        <f>'Income Statement'!E5</f>
        <v>72423.56</v>
      </c>
      <c r="F6" s="16">
        <f>'Income Statement'!F5</f>
        <v>57208.12</v>
      </c>
      <c r="G6" s="16">
        <f>'Income Statement'!G5</f>
        <v>92873.82</v>
      </c>
    </row>
    <row r="7" spans="2:7" ht="18.75" x14ac:dyDescent="0.25">
      <c r="B7" s="15" t="str">
        <f>'Balance Sheet'!B37</f>
        <v>Trade Receivables</v>
      </c>
      <c r="C7" s="16">
        <f>'Balance Sheet'!C37</f>
        <v>3429.56</v>
      </c>
      <c r="D7" s="16">
        <f>'Balance Sheet'!D37</f>
        <v>4363.3900000000003</v>
      </c>
      <c r="E7" s="16">
        <f>'Balance Sheet'!E37</f>
        <v>4818.3100000000004</v>
      </c>
      <c r="F7" s="16">
        <f>'Balance Sheet'!F37</f>
        <v>3501.5</v>
      </c>
      <c r="G7" s="16">
        <f>'Balance Sheet'!G37</f>
        <v>7446.53</v>
      </c>
    </row>
    <row r="8" spans="2:7" ht="18.75" x14ac:dyDescent="0.25">
      <c r="B8" s="17" t="s">
        <v>196</v>
      </c>
      <c r="C8" s="17">
        <f>ROUND(365/C6*C7, 2)</f>
        <v>22.94</v>
      </c>
      <c r="D8" s="17">
        <f t="shared" ref="D8:G8" si="0">ROUND(365/D6*D7, 2)</f>
        <v>20.98</v>
      </c>
      <c r="E8" s="17">
        <f t="shared" si="0"/>
        <v>24.28</v>
      </c>
      <c r="F8" s="17">
        <f t="shared" si="0"/>
        <v>22.34</v>
      </c>
      <c r="G8" s="17">
        <f t="shared" si="0"/>
        <v>29.27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149EF-FC69-4713-9012-9079C5569FFD}">
  <dimension ref="B3:G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197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54556.09</v>
      </c>
      <c r="D6" s="16">
        <f>'Income Statement'!D5</f>
        <v>75912.02</v>
      </c>
      <c r="E6" s="16">
        <f>'Income Statement'!E5</f>
        <v>72423.56</v>
      </c>
      <c r="F6" s="16">
        <f>'Income Statement'!F5</f>
        <v>57208.12</v>
      </c>
      <c r="G6" s="16">
        <f>'Income Statement'!G5</f>
        <v>92873.82</v>
      </c>
    </row>
    <row r="7" spans="2:7" ht="18.75" x14ac:dyDescent="0.25">
      <c r="B7" s="15" t="str">
        <f>'Balance Sheet'!B36</f>
        <v>Inventories</v>
      </c>
      <c r="C7" s="16">
        <f>'Balance Sheet'!C36</f>
        <v>1932.51</v>
      </c>
      <c r="D7" s="16">
        <f>'Balance Sheet'!D36</f>
        <v>2502.64</v>
      </c>
      <c r="E7" s="16">
        <f>'Balance Sheet'!E36</f>
        <v>3183.01</v>
      </c>
      <c r="F7" s="16">
        <f>'Balance Sheet'!F36</f>
        <v>2989.73</v>
      </c>
      <c r="G7" s="16">
        <f>'Balance Sheet'!G36</f>
        <v>3576.61</v>
      </c>
    </row>
    <row r="8" spans="2:7" ht="18.75" x14ac:dyDescent="0.25">
      <c r="B8" s="15" t="s">
        <v>192</v>
      </c>
      <c r="C8" s="16">
        <f>ROUND(365/C6*C7, 2)</f>
        <v>12.93</v>
      </c>
      <c r="D8" s="16">
        <f t="shared" ref="D8:G8" si="0">ROUND(365/D6*D7, 2)</f>
        <v>12.03</v>
      </c>
      <c r="E8" s="16">
        <f t="shared" si="0"/>
        <v>16.04</v>
      </c>
      <c r="F8" s="16">
        <f t="shared" si="0"/>
        <v>19.079999999999998</v>
      </c>
      <c r="G8" s="16">
        <f t="shared" si="0"/>
        <v>14.06</v>
      </c>
    </row>
    <row r="9" spans="2:7" ht="18.75" x14ac:dyDescent="0.25">
      <c r="B9" s="15" t="str">
        <f>'Income Statement'!B11</f>
        <v>Cost Of Materials Consumed</v>
      </c>
      <c r="C9" s="16">
        <f>'Income Statement'!C11</f>
        <v>4140.8999999999996</v>
      </c>
      <c r="D9" s="16">
        <f>'Income Statement'!D11</f>
        <v>5079.83</v>
      </c>
      <c r="E9" s="16">
        <f>'Income Statement'!E11</f>
        <v>4411.97</v>
      </c>
      <c r="F9" s="16">
        <f>'Income Statement'!F11</f>
        <v>3905.88</v>
      </c>
      <c r="G9" s="16">
        <f>'Income Statement'!G11</f>
        <v>11103.28</v>
      </c>
    </row>
    <row r="10" spans="2:7" ht="18.75" x14ac:dyDescent="0.25">
      <c r="B10" s="15" t="str">
        <f>'Balance Sheet'!B19</f>
        <v>Total Current Liabilities</v>
      </c>
      <c r="C10" s="16">
        <f>'Balance Sheet'!C19</f>
        <v>12481.24</v>
      </c>
      <c r="D10" s="16">
        <f>'Balance Sheet'!D19</f>
        <v>13776.74</v>
      </c>
      <c r="E10" s="16">
        <f>'Balance Sheet'!E19</f>
        <v>15182.099999999999</v>
      </c>
      <c r="F10" s="16">
        <f>'Balance Sheet'!F19</f>
        <v>17256.37</v>
      </c>
      <c r="G10" s="16">
        <f>'Balance Sheet'!G19</f>
        <v>20224.45</v>
      </c>
    </row>
    <row r="11" spans="2:7" ht="18.75" x14ac:dyDescent="0.25">
      <c r="B11" s="15" t="s">
        <v>194</v>
      </c>
      <c r="C11" s="16">
        <f>ROUND(365/C9*C10, 2)</f>
        <v>1100.1600000000001</v>
      </c>
      <c r="D11" s="16">
        <f t="shared" ref="D11:G11" si="1">ROUND(365/D9*D10, 2)</f>
        <v>989.9</v>
      </c>
      <c r="E11" s="16">
        <f t="shared" si="1"/>
        <v>1256.01</v>
      </c>
      <c r="F11" s="16">
        <f t="shared" si="1"/>
        <v>1612.59</v>
      </c>
      <c r="G11" s="16">
        <f t="shared" si="1"/>
        <v>664.84</v>
      </c>
    </row>
    <row r="12" spans="2:7" ht="18.75" x14ac:dyDescent="0.25">
      <c r="B12" s="17" t="s">
        <v>198</v>
      </c>
      <c r="C12" s="28">
        <f>ROUND(C11+C8, 2)</f>
        <v>1113.0899999999999</v>
      </c>
      <c r="D12" s="28">
        <f t="shared" ref="D12:G12" si="2">ROUND(D11+D8, 2)</f>
        <v>1001.93</v>
      </c>
      <c r="E12" s="28">
        <f t="shared" si="2"/>
        <v>1272.05</v>
      </c>
      <c r="F12" s="28">
        <f t="shared" si="2"/>
        <v>1631.67</v>
      </c>
      <c r="G12" s="28">
        <f t="shared" si="2"/>
        <v>678.9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66C53-53D2-48CC-9222-A0B67B73C09D}">
  <dimension ref="B3:G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199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54556.09</v>
      </c>
      <c r="D6" s="16">
        <f>'Income Statement'!D5</f>
        <v>75912.02</v>
      </c>
      <c r="E6" s="16">
        <f>'Income Statement'!E5</f>
        <v>72423.56</v>
      </c>
      <c r="F6" s="16">
        <f>'Income Statement'!F5</f>
        <v>57208.12</v>
      </c>
      <c r="G6" s="16">
        <f>'Income Statement'!G5</f>
        <v>92873.82</v>
      </c>
    </row>
    <row r="7" spans="2:7" ht="18.75" x14ac:dyDescent="0.25">
      <c r="B7" s="15" t="str">
        <f>'Balance Sheet'!B36</f>
        <v>Inventories</v>
      </c>
      <c r="C7" s="16">
        <f>'Balance Sheet'!C36</f>
        <v>1932.51</v>
      </c>
      <c r="D7" s="16">
        <f>'Balance Sheet'!D36</f>
        <v>2502.64</v>
      </c>
      <c r="E7" s="16">
        <f>'Balance Sheet'!E36</f>
        <v>3183.01</v>
      </c>
      <c r="F7" s="16">
        <f>'Balance Sheet'!F36</f>
        <v>2989.73</v>
      </c>
      <c r="G7" s="16">
        <f>'Balance Sheet'!G36</f>
        <v>3576.61</v>
      </c>
    </row>
    <row r="8" spans="2:7" ht="18.75" x14ac:dyDescent="0.25">
      <c r="B8" s="15" t="s">
        <v>192</v>
      </c>
      <c r="C8" s="16">
        <f>ROUND(365/C6*C7, 2)</f>
        <v>12.93</v>
      </c>
      <c r="D8" s="16">
        <f t="shared" ref="D8:G8" si="0">ROUND(365/D6*D7, 2)</f>
        <v>12.03</v>
      </c>
      <c r="E8" s="16">
        <f t="shared" si="0"/>
        <v>16.04</v>
      </c>
      <c r="F8" s="16">
        <f t="shared" si="0"/>
        <v>19.079999999999998</v>
      </c>
      <c r="G8" s="16">
        <f t="shared" si="0"/>
        <v>14.06</v>
      </c>
    </row>
    <row r="9" spans="2:7" ht="18.75" x14ac:dyDescent="0.25">
      <c r="B9" s="15" t="str">
        <f>'Income Statement'!B11</f>
        <v>Cost Of Materials Consumed</v>
      </c>
      <c r="C9" s="16">
        <f>'Income Statement'!C11</f>
        <v>4140.8999999999996</v>
      </c>
      <c r="D9" s="16">
        <f>'Income Statement'!D11</f>
        <v>5079.83</v>
      </c>
      <c r="E9" s="16">
        <f>'Income Statement'!E11</f>
        <v>4411.97</v>
      </c>
      <c r="F9" s="16">
        <f>'Income Statement'!F11</f>
        <v>3905.88</v>
      </c>
      <c r="G9" s="16">
        <f>'Income Statement'!G11</f>
        <v>11103.28</v>
      </c>
    </row>
    <row r="10" spans="2:7" ht="18.75" x14ac:dyDescent="0.25">
      <c r="B10" s="15" t="str">
        <f>'Balance Sheet'!B19</f>
        <v>Total Current Liabilities</v>
      </c>
      <c r="C10" s="16">
        <f>'Balance Sheet'!C19</f>
        <v>12481.24</v>
      </c>
      <c r="D10" s="16">
        <f>'Balance Sheet'!D19</f>
        <v>13776.74</v>
      </c>
      <c r="E10" s="16">
        <f>'Balance Sheet'!E19</f>
        <v>15182.099999999999</v>
      </c>
      <c r="F10" s="16">
        <f>'Balance Sheet'!F19</f>
        <v>17256.37</v>
      </c>
      <c r="G10" s="16">
        <f>'Balance Sheet'!G19</f>
        <v>20224.45</v>
      </c>
    </row>
    <row r="11" spans="2:7" ht="18.75" x14ac:dyDescent="0.25">
      <c r="B11" s="15" t="s">
        <v>194</v>
      </c>
      <c r="C11" s="16">
        <f>ROUND(365/C9*C10, 2)</f>
        <v>1100.1600000000001</v>
      </c>
      <c r="D11" s="16">
        <f t="shared" ref="D11:G11" si="1">ROUND(365/D9*D10, 2)</f>
        <v>989.9</v>
      </c>
      <c r="E11" s="16">
        <f t="shared" si="1"/>
        <v>1256.01</v>
      </c>
      <c r="F11" s="16">
        <f t="shared" si="1"/>
        <v>1612.59</v>
      </c>
      <c r="G11" s="16">
        <f t="shared" si="1"/>
        <v>664.84</v>
      </c>
    </row>
    <row r="12" spans="2:7" ht="18.75" x14ac:dyDescent="0.25">
      <c r="B12" s="15" t="s">
        <v>200</v>
      </c>
      <c r="C12" s="16">
        <f>ROUND(C11+C8, 2)</f>
        <v>1113.0899999999999</v>
      </c>
      <c r="D12" s="16">
        <f t="shared" ref="D12:G12" si="2">ROUND(D11+D8, 2)</f>
        <v>1001.93</v>
      </c>
      <c r="E12" s="16">
        <f t="shared" si="2"/>
        <v>1272.05</v>
      </c>
      <c r="F12" s="16">
        <f t="shared" si="2"/>
        <v>1631.67</v>
      </c>
      <c r="G12" s="16">
        <f t="shared" si="2"/>
        <v>678.9</v>
      </c>
    </row>
    <row r="13" spans="2:7" ht="18.75" x14ac:dyDescent="0.25">
      <c r="B13" s="15" t="str">
        <f>'Income Statement'!B11</f>
        <v>Cost Of Materials Consumed</v>
      </c>
      <c r="C13" s="16">
        <f>'Income Statement'!C11</f>
        <v>4140.8999999999996</v>
      </c>
      <c r="D13" s="16">
        <f>'Income Statement'!D11</f>
        <v>5079.83</v>
      </c>
      <c r="E13" s="16">
        <f>'Income Statement'!E11</f>
        <v>4411.97</v>
      </c>
      <c r="F13" s="16">
        <f>'Income Statement'!F11</f>
        <v>3905.88</v>
      </c>
      <c r="G13" s="16">
        <f>'Income Statement'!G11</f>
        <v>11103.28</v>
      </c>
    </row>
    <row r="14" spans="2:7" ht="18.75" x14ac:dyDescent="0.25">
      <c r="B14" s="15" t="str">
        <f>'Balance Sheet'!B19</f>
        <v>Total Current Liabilities</v>
      </c>
      <c r="C14" s="16">
        <f>'Balance Sheet'!C19</f>
        <v>12481.24</v>
      </c>
      <c r="D14" s="16">
        <f>'Balance Sheet'!D19</f>
        <v>13776.74</v>
      </c>
      <c r="E14" s="16">
        <f>'Balance Sheet'!E19</f>
        <v>15182.099999999999</v>
      </c>
      <c r="F14" s="16">
        <f>'Balance Sheet'!F19</f>
        <v>17256.37</v>
      </c>
      <c r="G14" s="16">
        <f>'Balance Sheet'!G19</f>
        <v>20224.45</v>
      </c>
    </row>
    <row r="15" spans="2:7" ht="18.75" x14ac:dyDescent="0.25">
      <c r="B15" s="15" t="s">
        <v>194</v>
      </c>
      <c r="C15" s="16">
        <f>ROUND(365/C13*C14, 2)</f>
        <v>1100.1600000000001</v>
      </c>
      <c r="D15" s="16">
        <f t="shared" ref="D15:G15" si="3">ROUND(365/D13*D14, 2)</f>
        <v>989.9</v>
      </c>
      <c r="E15" s="16">
        <f t="shared" si="3"/>
        <v>1256.01</v>
      </c>
      <c r="F15" s="16">
        <f t="shared" si="3"/>
        <v>1612.59</v>
      </c>
      <c r="G15" s="16">
        <f t="shared" si="3"/>
        <v>664.84</v>
      </c>
    </row>
    <row r="16" spans="2:7" ht="18.75" x14ac:dyDescent="0.25">
      <c r="B16" s="17" t="s">
        <v>201</v>
      </c>
      <c r="C16" s="28">
        <f>ROUND(C15-C12, 2)</f>
        <v>-12.93</v>
      </c>
      <c r="D16" s="28">
        <f t="shared" ref="D16:G16" si="4">ROUND(D15-D12, 2)</f>
        <v>-12.03</v>
      </c>
      <c r="E16" s="28">
        <f t="shared" si="4"/>
        <v>-16.04</v>
      </c>
      <c r="F16" s="28">
        <f t="shared" si="4"/>
        <v>-19.079999999999998</v>
      </c>
      <c r="G16" s="28">
        <f t="shared" si="4"/>
        <v>-14.06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1B1834-90F4-475A-B69C-147428E0A653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3" width="13.140625" bestFit="1" customWidth="1"/>
    <col min="4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Sheet'!B9</f>
        <v>Net Worth</v>
      </c>
      <c r="C5" s="16">
        <f>'Balance Sheet'!C9</f>
        <v>41678.57</v>
      </c>
      <c r="D5" s="16">
        <f>'Balance Sheet'!D9</f>
        <v>99303.750000000029</v>
      </c>
      <c r="E5" s="16">
        <f>'Balance Sheet'!E9</f>
        <v>157162.57</v>
      </c>
      <c r="F5" s="16">
        <f>'Balance Sheet'!F9</f>
        <v>198881.67</v>
      </c>
      <c r="G5" s="16">
        <f>'Balance Sheet'!G9</f>
        <v>268426.86000000004</v>
      </c>
    </row>
    <row r="6" spans="2:7" ht="18.75" x14ac:dyDescent="0.25">
      <c r="B6" s="15" t="str">
        <f>'Balance Sheet'!B21</f>
        <v>Total Liabilities</v>
      </c>
      <c r="C6" s="16">
        <f>'Balance Sheet'!C21</f>
        <v>61334.139999999992</v>
      </c>
      <c r="D6" s="16">
        <f>'Balance Sheet'!D21</f>
        <v>121707.05000000003</v>
      </c>
      <c r="E6" s="16">
        <f>'Balance Sheet'!E21</f>
        <v>182808.50000000003</v>
      </c>
      <c r="F6" s="16">
        <f>'Balance Sheet'!F21</f>
        <v>227084.29</v>
      </c>
      <c r="G6" s="16">
        <f>'Balance Sheet'!G21</f>
        <v>300871.98000000004</v>
      </c>
    </row>
  </sheetData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EEB77-EEDA-4855-BEFA-A8EAC7ACB3AC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Statement'!B17</f>
        <v>PBDIT</v>
      </c>
      <c r="C5" s="16">
        <f>'Income Statement'!C17</f>
        <v>45140.639999999999</v>
      </c>
      <c r="D5" s="16">
        <f>'Income Statement'!D17</f>
        <v>64820.05000000001</v>
      </c>
      <c r="E5" s="16">
        <f>'Income Statement'!E17</f>
        <v>62868.159999999989</v>
      </c>
      <c r="F5" s="16">
        <f>'Income Statement'!F17</f>
        <v>47963.15</v>
      </c>
      <c r="G5" s="16">
        <f>'Income Statement'!G17</f>
        <v>75327.73000000001</v>
      </c>
    </row>
    <row r="6" spans="2:7" ht="18.75" x14ac:dyDescent="0.25">
      <c r="B6" s="15" t="str">
        <f>'Income Statement'!B19</f>
        <v>PBIT</v>
      </c>
      <c r="C6" s="16">
        <f>'Income Statement'!C19</f>
        <v>43613.75</v>
      </c>
      <c r="D6" s="16">
        <f>'Income Statement'!D19</f>
        <v>63153.410000000011</v>
      </c>
      <c r="E6" s="16">
        <f>'Income Statement'!E19</f>
        <v>60787.999999999985</v>
      </c>
      <c r="F6" s="16">
        <f>'Income Statement'!F19</f>
        <v>45789.33</v>
      </c>
      <c r="G6" s="16">
        <f>'Income Statement'!G19</f>
        <v>72907.560000000012</v>
      </c>
    </row>
  </sheetData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4BECA-C7AF-4CBC-AEE7-52F0BC25D4D8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4" width="13.140625" bestFit="1" customWidth="1"/>
    <col min="5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Sheet'!B39</f>
        <v>Total Current Assets</v>
      </c>
      <c r="C5" s="16">
        <f>'Balance Sheet'!C39</f>
        <v>14463.59</v>
      </c>
      <c r="D5" s="16">
        <f>'Balance Sheet'!D39</f>
        <v>70310.190000000017</v>
      </c>
      <c r="E5" s="16">
        <f>'Balance Sheet'!E39</f>
        <v>126766.42</v>
      </c>
      <c r="F5" s="16">
        <f>'Balance Sheet'!F39</f>
        <v>165387.16999999998</v>
      </c>
      <c r="G5" s="16">
        <f>'Balance Sheet'!G39</f>
        <v>232742.16000000003</v>
      </c>
    </row>
    <row r="6" spans="2:7" ht="18.75" x14ac:dyDescent="0.25">
      <c r="B6" s="15" t="str">
        <f>'Balance Sheet'!B19</f>
        <v>Total Current Liabilities</v>
      </c>
      <c r="C6" s="16">
        <f>'Balance Sheet'!C19</f>
        <v>12481.24</v>
      </c>
      <c r="D6" s="16">
        <f>'Balance Sheet'!D19</f>
        <v>13776.74</v>
      </c>
      <c r="E6" s="16">
        <f>'Balance Sheet'!E19</f>
        <v>15182.099999999999</v>
      </c>
      <c r="F6" s="16">
        <f>'Balance Sheet'!F19</f>
        <v>17256.37</v>
      </c>
      <c r="G6" s="16">
        <f>'Balance Sheet'!G19</f>
        <v>20224.45</v>
      </c>
    </row>
  </sheetData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1BAE28-4472-4779-9A2D-52F5D2A13F27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7" width="10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Sheet'!B14</f>
        <v>Long Term Provisions</v>
      </c>
      <c r="C5" s="16">
        <f>'Balance Sheet'!C14</f>
        <v>589.1</v>
      </c>
      <c r="D5" s="16">
        <f>'Balance Sheet'!D14</f>
        <v>702.04</v>
      </c>
      <c r="E5" s="16">
        <f>'Balance Sheet'!E14</f>
        <v>538.51</v>
      </c>
      <c r="F5" s="16">
        <f>'Balance Sheet'!F14</f>
        <v>557.02</v>
      </c>
      <c r="G5" s="16">
        <f>'Balance Sheet'!G14</f>
        <v>676.08</v>
      </c>
    </row>
    <row r="6" spans="2:7" ht="18.75" x14ac:dyDescent="0.25">
      <c r="B6" s="15" t="str">
        <f>'Balance Sheet'!B15</f>
        <v>Short Term Provisions</v>
      </c>
      <c r="C6" s="16">
        <f>'Balance Sheet'!C15</f>
        <v>865.08</v>
      </c>
      <c r="D6" s="16">
        <f>'Balance Sheet'!D15</f>
        <v>755.05</v>
      </c>
      <c r="E6" s="16">
        <f>'Balance Sheet'!E15</f>
        <v>775.16</v>
      </c>
      <c r="F6" s="16">
        <f>'Balance Sheet'!F15</f>
        <v>828.71</v>
      </c>
      <c r="G6" s="16">
        <f>'Balance Sheet'!G15</f>
        <v>873.2</v>
      </c>
    </row>
  </sheetData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C6D6A-0C72-4A3E-8A26-15576EB4E11C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6" width="11.5703125" bestFit="1" customWidth="1"/>
    <col min="7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Statement'!B11</f>
        <v>Cost Of Materials Consumed</v>
      </c>
      <c r="C5" s="16">
        <f>'Income Statement'!C11</f>
        <v>4140.8999999999996</v>
      </c>
      <c r="D5" s="16">
        <f>'Income Statement'!D11</f>
        <v>5079.83</v>
      </c>
      <c r="E5" s="16">
        <f>'Income Statement'!E11</f>
        <v>4411.97</v>
      </c>
      <c r="F5" s="16">
        <f>'Income Statement'!F11</f>
        <v>3905.88</v>
      </c>
      <c r="G5" s="16">
        <f>'Income Statement'!G11</f>
        <v>11103.28</v>
      </c>
    </row>
    <row r="6" spans="2:7" ht="18.75" x14ac:dyDescent="0.25">
      <c r="B6" s="15" t="str">
        <f>'Income Statement'!B12</f>
        <v>Operating And Direct Expenses</v>
      </c>
      <c r="C6" s="16">
        <f>'Income Statement'!C12</f>
        <v>0</v>
      </c>
      <c r="D6" s="16">
        <f>'Income Statement'!D12</f>
        <v>0</v>
      </c>
      <c r="E6" s="16">
        <f>'Income Statement'!E12</f>
        <v>0</v>
      </c>
      <c r="F6" s="16">
        <f>'Income Statement'!F12</f>
        <v>0</v>
      </c>
      <c r="G6" s="16">
        <f>'Income Statement'!G12</f>
        <v>0</v>
      </c>
    </row>
  </sheetData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38B59-C2D0-451B-A0EF-0E7737E076E5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Statement'!B5</f>
        <v>Gross Sales</v>
      </c>
      <c r="C5" s="16">
        <f>'Income Statement'!C5</f>
        <v>54556.09</v>
      </c>
      <c r="D5" s="16">
        <f>'Income Statement'!D5</f>
        <v>75912.02</v>
      </c>
      <c r="E5" s="16">
        <f>'Income Statement'!E5</f>
        <v>72423.56</v>
      </c>
      <c r="F5" s="16">
        <f>'Income Statement'!F5</f>
        <v>57208.12</v>
      </c>
      <c r="G5" s="16">
        <f>'Income Statement'!G5</f>
        <v>92873.82</v>
      </c>
    </row>
    <row r="6" spans="2:7" ht="18.75" x14ac:dyDescent="0.25">
      <c r="B6" s="15" t="str">
        <f>'Income Statement'!B10</f>
        <v>Total Income</v>
      </c>
      <c r="C6" s="16">
        <f>'Income Statement'!C10</f>
        <v>55170.85</v>
      </c>
      <c r="D6" s="16">
        <f>'Income Statement'!D10</f>
        <v>77082.010000000009</v>
      </c>
      <c r="E6" s="16">
        <f>'Income Statement'!E10</f>
        <v>73901.429999999993</v>
      </c>
      <c r="F6" s="16">
        <f>'Income Statement'!F10</f>
        <v>58271.97</v>
      </c>
      <c r="G6" s="16">
        <f>'Income Statement'!G10</f>
        <v>93942.080000000002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17CDF-5F47-472F-BB2D-23315FC66610}">
  <dimension ref="B3:G40"/>
  <sheetViews>
    <sheetView showGridLines="0" topLeftCell="A30" workbookViewId="0">
      <selection activeCell="D38" sqref="D38:G38"/>
    </sheetView>
  </sheetViews>
  <sheetFormatPr defaultRowHeight="15" x14ac:dyDescent="0.25"/>
  <cols>
    <col min="2" max="2" width="46" bestFit="1" customWidth="1"/>
    <col min="3" max="3" width="15.42578125" bestFit="1" customWidth="1"/>
    <col min="4" max="7" width="17.140625" bestFit="1" customWidth="1"/>
  </cols>
  <sheetData>
    <row r="3" spans="2:7" ht="18.75" x14ac:dyDescent="0.25">
      <c r="B3" s="10" t="s">
        <v>128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5</v>
      </c>
      <c r="C5" s="5">
        <v>2255.0700000000002</v>
      </c>
      <c r="D5" s="5">
        <v>2255.0700000000002</v>
      </c>
      <c r="E5" s="5">
        <v>4510.1400000000003</v>
      </c>
      <c r="F5" s="5">
        <v>4440.3900000000003</v>
      </c>
      <c r="G5" s="5">
        <v>4440.3900000000003</v>
      </c>
    </row>
    <row r="6" spans="2:7" ht="18.75" x14ac:dyDescent="0.25">
      <c r="B6" s="8" t="s">
        <v>121</v>
      </c>
      <c r="C6" s="4"/>
      <c r="D6" s="4"/>
      <c r="E6" s="4"/>
      <c r="F6" s="4"/>
      <c r="G6" s="4"/>
    </row>
    <row r="7" spans="2:7" ht="18.75" x14ac:dyDescent="0.25">
      <c r="B7" s="9" t="s">
        <v>6</v>
      </c>
      <c r="C7" s="7">
        <f>C5+C6</f>
        <v>2255.0700000000002</v>
      </c>
      <c r="D7" s="7">
        <f t="shared" ref="D7:G7" si="0">D5+D6</f>
        <v>2255.0700000000002</v>
      </c>
      <c r="E7" s="7">
        <f t="shared" si="0"/>
        <v>4510.1400000000003</v>
      </c>
      <c r="F7" s="7">
        <f t="shared" si="0"/>
        <v>4440.3900000000003</v>
      </c>
      <c r="G7" s="7">
        <f t="shared" si="0"/>
        <v>4440.3900000000003</v>
      </c>
    </row>
    <row r="8" spans="2:7" ht="18.75" x14ac:dyDescent="0.25">
      <c r="B8" s="8" t="s">
        <v>7</v>
      </c>
      <c r="C8" s="5">
        <v>39423.5</v>
      </c>
      <c r="D8" s="5">
        <f>'Income Statement'!D30+C8</f>
        <v>97048.680000000022</v>
      </c>
      <c r="E8" s="5">
        <f>'Income Statement'!E30+D8</f>
        <v>152652.43</v>
      </c>
      <c r="F8" s="5">
        <f>'Income Statement'!F30+E8</f>
        <v>194441.28</v>
      </c>
      <c r="G8" s="5">
        <f>'Income Statement'!G30+F8</f>
        <v>263986.47000000003</v>
      </c>
    </row>
    <row r="9" spans="2:7" ht="18.75" x14ac:dyDescent="0.25">
      <c r="B9" s="9" t="s">
        <v>122</v>
      </c>
      <c r="C9" s="7">
        <f>C7+C8</f>
        <v>41678.57</v>
      </c>
      <c r="D9" s="7">
        <f t="shared" ref="D9:G9" si="1">D7+D8</f>
        <v>99303.750000000029</v>
      </c>
      <c r="E9" s="7">
        <f t="shared" si="1"/>
        <v>157162.57</v>
      </c>
      <c r="F9" s="7">
        <f t="shared" si="1"/>
        <v>198881.67</v>
      </c>
      <c r="G9" s="7">
        <f t="shared" si="1"/>
        <v>268426.86000000004</v>
      </c>
    </row>
    <row r="10" spans="2:7" ht="18.75" x14ac:dyDescent="0.25">
      <c r="B10" s="8" t="s">
        <v>12</v>
      </c>
      <c r="C10" s="5">
        <v>1118.6400000000001</v>
      </c>
      <c r="D10" s="5">
        <v>1027.83</v>
      </c>
      <c r="E10" s="5">
        <v>3773.4</v>
      </c>
      <c r="F10" s="5">
        <v>5237.3999999999996</v>
      </c>
      <c r="G10" s="5">
        <v>5468.06</v>
      </c>
    </row>
    <row r="11" spans="2:7" ht="18.75" x14ac:dyDescent="0.25">
      <c r="B11" s="8" t="s">
        <v>13</v>
      </c>
      <c r="C11" s="5">
        <v>5039.1099999999997</v>
      </c>
      <c r="D11" s="5">
        <v>6509.88</v>
      </c>
      <c r="E11" s="5">
        <v>4039.19</v>
      </c>
      <c r="F11" s="5">
        <v>4088.46</v>
      </c>
      <c r="G11" s="5">
        <v>4199.17</v>
      </c>
    </row>
    <row r="12" spans="2:7" ht="18.75" x14ac:dyDescent="0.25">
      <c r="B12" s="8" t="s">
        <v>18</v>
      </c>
      <c r="C12" s="5">
        <v>977.66</v>
      </c>
      <c r="D12" s="5">
        <v>1042.9000000000001</v>
      </c>
      <c r="E12" s="5">
        <v>2564.1999999999998</v>
      </c>
      <c r="F12" s="5">
        <v>1522.9</v>
      </c>
      <c r="G12" s="4">
        <v>2362.2600000000002</v>
      </c>
    </row>
    <row r="13" spans="2:7" ht="18.75" x14ac:dyDescent="0.25">
      <c r="B13" s="9" t="s">
        <v>123</v>
      </c>
      <c r="C13" s="7">
        <f>C10+C11+C12</f>
        <v>7135.41</v>
      </c>
      <c r="D13" s="7">
        <f t="shared" ref="D13:G13" si="2">D10+D11+D12</f>
        <v>8580.61</v>
      </c>
      <c r="E13" s="7">
        <f t="shared" si="2"/>
        <v>10376.790000000001</v>
      </c>
      <c r="F13" s="7">
        <f t="shared" si="2"/>
        <v>10848.76</v>
      </c>
      <c r="G13" s="7">
        <f t="shared" si="2"/>
        <v>12029.49</v>
      </c>
    </row>
    <row r="14" spans="2:7" ht="18.75" x14ac:dyDescent="0.25">
      <c r="B14" s="8" t="s">
        <v>15</v>
      </c>
      <c r="C14" s="4">
        <v>589.1</v>
      </c>
      <c r="D14" s="4">
        <v>702.04</v>
      </c>
      <c r="E14" s="4">
        <v>538.51</v>
      </c>
      <c r="F14" s="4">
        <v>557.02</v>
      </c>
      <c r="G14" s="4">
        <v>676.08</v>
      </c>
    </row>
    <row r="15" spans="2:7" ht="18.75" x14ac:dyDescent="0.25">
      <c r="B15" s="8" t="s">
        <v>21</v>
      </c>
      <c r="C15" s="4">
        <v>865.08</v>
      </c>
      <c r="D15" s="4">
        <v>755.05</v>
      </c>
      <c r="E15" s="4">
        <v>775.16</v>
      </c>
      <c r="F15" s="4">
        <v>828.71</v>
      </c>
      <c r="G15" s="4">
        <v>873.2</v>
      </c>
    </row>
    <row r="16" spans="2:7" ht="18.75" x14ac:dyDescent="0.25">
      <c r="B16" s="8" t="s">
        <v>14</v>
      </c>
      <c r="C16" s="5">
        <v>1683.5</v>
      </c>
      <c r="D16" s="5">
        <v>3457.58</v>
      </c>
      <c r="E16" s="5">
        <v>4731.6400000000003</v>
      </c>
      <c r="F16" s="5">
        <v>5669.92</v>
      </c>
      <c r="G16" s="5">
        <v>6817.9</v>
      </c>
    </row>
    <row r="17" spans="2:7" ht="18.75" x14ac:dyDescent="0.25">
      <c r="B17" s="8" t="s">
        <v>19</v>
      </c>
      <c r="C17" s="5">
        <v>3903.89</v>
      </c>
      <c r="D17" s="5">
        <v>3876.07</v>
      </c>
      <c r="E17" s="5">
        <v>3922.18</v>
      </c>
      <c r="F17" s="5">
        <v>4453.18</v>
      </c>
      <c r="G17" s="5">
        <v>5361.26</v>
      </c>
    </row>
    <row r="18" spans="2:7" ht="18.75" x14ac:dyDescent="0.25">
      <c r="B18" s="8" t="s">
        <v>20</v>
      </c>
      <c r="C18" s="5">
        <v>5439.67</v>
      </c>
      <c r="D18" s="5">
        <v>4986</v>
      </c>
      <c r="E18" s="5">
        <v>5214.6099999999997</v>
      </c>
      <c r="F18" s="5">
        <v>5747.54</v>
      </c>
      <c r="G18" s="5">
        <v>6496.01</v>
      </c>
    </row>
    <row r="19" spans="2:7" ht="18.75" x14ac:dyDescent="0.25">
      <c r="B19" s="9" t="s">
        <v>22</v>
      </c>
      <c r="C19" s="7">
        <f>C14+C15+C16+C17+C18</f>
        <v>12481.24</v>
      </c>
      <c r="D19" s="7">
        <f t="shared" ref="D19:G19" si="3">D14+D15+D16+D17+D18</f>
        <v>13776.74</v>
      </c>
      <c r="E19" s="7">
        <f t="shared" si="3"/>
        <v>15182.099999999999</v>
      </c>
      <c r="F19" s="7">
        <f t="shared" si="3"/>
        <v>17256.37</v>
      </c>
      <c r="G19" s="7">
        <f t="shared" si="3"/>
        <v>20224.45</v>
      </c>
    </row>
    <row r="20" spans="2:7" ht="18.75" x14ac:dyDescent="0.25">
      <c r="B20" s="8" t="s">
        <v>10</v>
      </c>
      <c r="C20" s="4">
        <v>38.92</v>
      </c>
      <c r="D20" s="4">
        <v>45.95</v>
      </c>
      <c r="E20" s="4">
        <v>87.04</v>
      </c>
      <c r="F20" s="4">
        <v>97.49</v>
      </c>
      <c r="G20" s="4">
        <v>191.18</v>
      </c>
    </row>
    <row r="21" spans="2:7" ht="18.75" x14ac:dyDescent="0.25">
      <c r="B21" s="9" t="s">
        <v>124</v>
      </c>
      <c r="C21" s="7">
        <f>C9+C13+C19+C20</f>
        <v>61334.139999999992</v>
      </c>
      <c r="D21" s="7">
        <f t="shared" ref="D21:G21" si="4">D9+D13+D19+D20</f>
        <v>121707.05000000003</v>
      </c>
      <c r="E21" s="7">
        <f t="shared" si="4"/>
        <v>182808.50000000003</v>
      </c>
      <c r="F21" s="7">
        <f t="shared" si="4"/>
        <v>227084.29</v>
      </c>
      <c r="G21" s="7">
        <f t="shared" si="4"/>
        <v>300871.98000000004</v>
      </c>
    </row>
    <row r="22" spans="2:7" ht="18.75" x14ac:dyDescent="0.25">
      <c r="B22" s="8"/>
      <c r="C22" s="5"/>
      <c r="D22" s="4"/>
      <c r="E22" s="4"/>
      <c r="F22" s="4"/>
      <c r="G22" s="4"/>
    </row>
    <row r="23" spans="2:7" ht="18.75" x14ac:dyDescent="0.25">
      <c r="B23" s="8" t="s">
        <v>26</v>
      </c>
      <c r="C23" s="5">
        <v>29416.84</v>
      </c>
      <c r="D23" s="5">
        <v>31287.77</v>
      </c>
      <c r="E23" s="5">
        <v>36349.26</v>
      </c>
      <c r="F23" s="5">
        <v>38859.660000000003</v>
      </c>
      <c r="G23" s="5">
        <v>60062.46</v>
      </c>
    </row>
    <row r="24" spans="2:7" ht="18.75" x14ac:dyDescent="0.25">
      <c r="B24" s="8" t="s">
        <v>27</v>
      </c>
      <c r="C24" s="4">
        <v>1063.45</v>
      </c>
      <c r="D24" s="5">
        <v>1412.51</v>
      </c>
      <c r="E24" s="5">
        <v>1880.36</v>
      </c>
      <c r="F24" s="5">
        <v>2300.6799999999998</v>
      </c>
      <c r="G24" s="5">
        <v>0</v>
      </c>
    </row>
    <row r="25" spans="2:7" ht="18.75" x14ac:dyDescent="0.25">
      <c r="B25" s="8" t="s">
        <v>125</v>
      </c>
      <c r="C25" s="4"/>
      <c r="D25" s="5">
        <f>'Income Statement'!D18</f>
        <v>1666.64</v>
      </c>
      <c r="E25" s="5">
        <f>'Income Statement'!E18+D25</f>
        <v>3746.8</v>
      </c>
      <c r="F25" s="5">
        <f>'Income Statement'!F18+E25</f>
        <v>5920.6200000000008</v>
      </c>
      <c r="G25" s="5">
        <f>'Income Statement'!G18+F25</f>
        <v>8340.7900000000009</v>
      </c>
    </row>
    <row r="26" spans="2:7" ht="18.75" x14ac:dyDescent="0.25">
      <c r="B26" s="9" t="s">
        <v>126</v>
      </c>
      <c r="C26" s="7">
        <f>C23+C24-C25</f>
        <v>30480.29</v>
      </c>
      <c r="D26" s="7">
        <f t="shared" ref="D26:G26" si="5">D23+D24-D25</f>
        <v>31033.64</v>
      </c>
      <c r="E26" s="7">
        <f t="shared" si="5"/>
        <v>34482.82</v>
      </c>
      <c r="F26" s="7">
        <f t="shared" si="5"/>
        <v>35239.72</v>
      </c>
      <c r="G26" s="7">
        <f t="shared" si="5"/>
        <v>51721.67</v>
      </c>
    </row>
    <row r="27" spans="2:7" ht="18.75" x14ac:dyDescent="0.25">
      <c r="B27" s="8" t="s">
        <v>30</v>
      </c>
      <c r="C27" s="5">
        <v>10070.4</v>
      </c>
      <c r="D27" s="5">
        <v>10625.72</v>
      </c>
      <c r="E27" s="5">
        <v>9892.9500000000007</v>
      </c>
      <c r="F27" s="5">
        <v>12589.26</v>
      </c>
      <c r="G27" s="5">
        <v>16408.150000000001</v>
      </c>
    </row>
    <row r="28" spans="2:7" ht="18.75" x14ac:dyDescent="0.25">
      <c r="B28" s="8" t="s">
        <v>36</v>
      </c>
      <c r="C28" s="4">
        <v>381.47</v>
      </c>
      <c r="D28" s="4">
        <v>0</v>
      </c>
      <c r="E28" s="4">
        <v>0</v>
      </c>
      <c r="F28" s="4">
        <v>468.48</v>
      </c>
      <c r="G28" s="4">
        <v>0</v>
      </c>
    </row>
    <row r="29" spans="2:7" ht="18.75" x14ac:dyDescent="0.25">
      <c r="B29" s="8" t="s">
        <v>28</v>
      </c>
      <c r="C29" s="4">
        <v>5938.39</v>
      </c>
      <c r="D29" s="5">
        <v>9737.5</v>
      </c>
      <c r="E29" s="5">
        <v>11666.31</v>
      </c>
      <c r="F29" s="5">
        <v>13399.66</v>
      </c>
      <c r="G29" s="5">
        <v>0</v>
      </c>
    </row>
    <row r="30" spans="2:7" ht="18.75" x14ac:dyDescent="0.25">
      <c r="B30" s="9" t="s">
        <v>127</v>
      </c>
      <c r="C30" s="7">
        <f>C26+C27+C28+C29</f>
        <v>46870.55</v>
      </c>
      <c r="D30" s="7">
        <f t="shared" ref="D30:G30" si="6">D26+D27+D28+D29</f>
        <v>51396.86</v>
      </c>
      <c r="E30" s="7">
        <f t="shared" si="6"/>
        <v>56042.080000000002</v>
      </c>
      <c r="F30" s="7">
        <f t="shared" si="6"/>
        <v>61697.12000000001</v>
      </c>
      <c r="G30" s="7">
        <f t="shared" si="6"/>
        <v>68129.820000000007</v>
      </c>
    </row>
    <row r="31" spans="2:7" ht="18.75" x14ac:dyDescent="0.25">
      <c r="B31" s="8" t="s">
        <v>31</v>
      </c>
      <c r="C31" s="4">
        <v>0</v>
      </c>
      <c r="D31" s="4">
        <v>0</v>
      </c>
      <c r="E31" s="4">
        <v>0</v>
      </c>
      <c r="F31" s="4">
        <v>0</v>
      </c>
      <c r="G31" s="4">
        <v>432.04</v>
      </c>
    </row>
    <row r="32" spans="2:7" ht="18.75" x14ac:dyDescent="0.25">
      <c r="B32" s="8" t="s">
        <v>32</v>
      </c>
      <c r="C32" s="4">
        <v>550.05999999999995</v>
      </c>
      <c r="D32" s="4">
        <v>669.29</v>
      </c>
      <c r="E32" s="4">
        <v>556.12</v>
      </c>
      <c r="F32" s="4">
        <v>390.36</v>
      </c>
      <c r="G32" s="4">
        <v>285.37</v>
      </c>
    </row>
    <row r="33" spans="2:7" ht="18.75" x14ac:dyDescent="0.25">
      <c r="B33" s="8" t="s">
        <v>33</v>
      </c>
      <c r="C33" s="5">
        <v>3406.58</v>
      </c>
      <c r="D33" s="5">
        <v>3625.98</v>
      </c>
      <c r="E33" s="5">
        <v>2574.75</v>
      </c>
      <c r="F33" s="5">
        <v>2978.11</v>
      </c>
      <c r="G33" s="5">
        <v>3064.23</v>
      </c>
    </row>
    <row r="34" spans="2:7" ht="18.75" x14ac:dyDescent="0.25">
      <c r="B34" s="8" t="s">
        <v>40</v>
      </c>
      <c r="C34" s="4">
        <v>693.59</v>
      </c>
      <c r="D34" s="4">
        <v>824</v>
      </c>
      <c r="E34" s="5">
        <v>1069.98</v>
      </c>
      <c r="F34" s="4">
        <v>685.67</v>
      </c>
      <c r="G34" s="4">
        <v>99.54</v>
      </c>
    </row>
    <row r="35" spans="2:7" ht="18.75" x14ac:dyDescent="0.25">
      <c r="B35" s="8" t="s">
        <v>41</v>
      </c>
      <c r="C35" s="5">
        <v>1592.75</v>
      </c>
      <c r="D35" s="5">
        <v>1933.5</v>
      </c>
      <c r="E35" s="5">
        <v>1672.96</v>
      </c>
      <c r="F35" s="5">
        <v>1197.21</v>
      </c>
      <c r="G35" s="5">
        <v>2380.44</v>
      </c>
    </row>
    <row r="36" spans="2:7" ht="18.75" x14ac:dyDescent="0.25">
      <c r="B36" s="8" t="s">
        <v>37</v>
      </c>
      <c r="C36" s="5">
        <v>1932.51</v>
      </c>
      <c r="D36" s="5">
        <v>2502.64</v>
      </c>
      <c r="E36" s="5">
        <v>3183.01</v>
      </c>
      <c r="F36" s="5">
        <v>2989.73</v>
      </c>
      <c r="G36" s="5">
        <v>3576.61</v>
      </c>
    </row>
    <row r="37" spans="2:7" ht="18.75" x14ac:dyDescent="0.25">
      <c r="B37" s="8" t="s">
        <v>38</v>
      </c>
      <c r="C37" s="5">
        <v>3429.56</v>
      </c>
      <c r="D37" s="5">
        <v>4363.3900000000003</v>
      </c>
      <c r="E37" s="5">
        <v>4818.3100000000004</v>
      </c>
      <c r="F37" s="5">
        <v>3501.5</v>
      </c>
      <c r="G37" s="5">
        <v>7446.53</v>
      </c>
    </row>
    <row r="38" spans="2:7" ht="18.75" x14ac:dyDescent="0.25">
      <c r="B38" s="8" t="s">
        <v>39</v>
      </c>
      <c r="C38" s="5">
        <v>2858.54</v>
      </c>
      <c r="D38" s="5">
        <f>'CashFlow Statement'!D48+C38</f>
        <v>56391.390000000014</v>
      </c>
      <c r="E38" s="5">
        <f>'CashFlow Statement'!E48+D38</f>
        <v>112891.29</v>
      </c>
      <c r="F38" s="5">
        <f>'CashFlow Statement'!F48+E38</f>
        <v>153644.59</v>
      </c>
      <c r="G38" s="5">
        <f>'CashFlow Statement'!G48+F38</f>
        <v>215457.40000000002</v>
      </c>
    </row>
    <row r="39" spans="2:7" ht="18.75" x14ac:dyDescent="0.25">
      <c r="B39" s="9" t="s">
        <v>42</v>
      </c>
      <c r="C39" s="7">
        <f>C31+C32+C33+C34+C35+C36+C37+C38</f>
        <v>14463.59</v>
      </c>
      <c r="D39" s="7">
        <f t="shared" ref="D39:G39" si="7">D31+D32+D33+D34+D35+D36+D37+D38</f>
        <v>70310.190000000017</v>
      </c>
      <c r="E39" s="7">
        <f t="shared" si="7"/>
        <v>126766.42</v>
      </c>
      <c r="F39" s="7">
        <f t="shared" si="7"/>
        <v>165387.16999999998</v>
      </c>
      <c r="G39" s="7">
        <f t="shared" si="7"/>
        <v>232742.16000000003</v>
      </c>
    </row>
    <row r="40" spans="2:7" ht="18.75" x14ac:dyDescent="0.25">
      <c r="B40" s="9" t="s">
        <v>43</v>
      </c>
      <c r="C40" s="7">
        <f>C30+C39</f>
        <v>61334.14</v>
      </c>
      <c r="D40" s="7">
        <f t="shared" ref="D40:G40" si="8">D30+D39</f>
        <v>121707.05000000002</v>
      </c>
      <c r="E40" s="7">
        <f t="shared" si="8"/>
        <v>182808.5</v>
      </c>
      <c r="F40" s="7">
        <f t="shared" si="8"/>
        <v>227084.28999999998</v>
      </c>
      <c r="G40" s="7">
        <f t="shared" si="8"/>
        <v>300871.98000000004</v>
      </c>
    </row>
  </sheetData>
  <mergeCells count="1">
    <mergeCell ref="B3:G3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C724C3-4849-4B19-9A43-BA5383E47A05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3" width="13.140625" bestFit="1" customWidth="1"/>
    <col min="4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Sheet'!B21</f>
        <v>Total Liabilities</v>
      </c>
      <c r="C5" s="16">
        <f>'Balance Sheet'!C21</f>
        <v>61334.139999999992</v>
      </c>
      <c r="D5" s="16">
        <f>'Balance Sheet'!D21</f>
        <v>121707.05000000003</v>
      </c>
      <c r="E5" s="16">
        <f>'Balance Sheet'!E21</f>
        <v>182808.50000000003</v>
      </c>
      <c r="F5" s="16">
        <f>'Balance Sheet'!F21</f>
        <v>227084.29</v>
      </c>
      <c r="G5" s="16">
        <f>'Balance Sheet'!G21</f>
        <v>300871.98000000004</v>
      </c>
    </row>
    <row r="6" spans="2:7" ht="18.75" x14ac:dyDescent="0.25">
      <c r="B6" s="15" t="str">
        <f>'Balance Sheet'!B13</f>
        <v>Total Debt</v>
      </c>
      <c r="C6" s="16">
        <f>'Balance Sheet'!C13</f>
        <v>7135.41</v>
      </c>
      <c r="D6" s="16">
        <f>'Balance Sheet'!D13</f>
        <v>8580.61</v>
      </c>
      <c r="E6" s="16">
        <f>'Balance Sheet'!E13</f>
        <v>10376.790000000001</v>
      </c>
      <c r="F6" s="16">
        <f>'Balance Sheet'!F13</f>
        <v>10848.76</v>
      </c>
      <c r="G6" s="16">
        <f>'Balance Sheet'!G13</f>
        <v>12029.49</v>
      </c>
    </row>
  </sheetData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3EDB5B-1481-44C9-8887-F20F0C864976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3" width="13.140625" bestFit="1" customWidth="1"/>
    <col min="4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Sheet'!B21</f>
        <v>Total Liabilities</v>
      </c>
      <c r="C5" s="16">
        <f>'Balance Sheet'!C21</f>
        <v>61334.139999999992</v>
      </c>
      <c r="D5" s="16">
        <f>'Balance Sheet'!D21</f>
        <v>121707.05000000003</v>
      </c>
      <c r="E5" s="16">
        <f>'Balance Sheet'!E21</f>
        <v>182808.50000000003</v>
      </c>
      <c r="F5" s="16">
        <f>'Balance Sheet'!F21</f>
        <v>227084.29</v>
      </c>
      <c r="G5" s="16">
        <f>'Balance Sheet'!G21</f>
        <v>300871.98000000004</v>
      </c>
    </row>
    <row r="6" spans="2:7" ht="18.75" x14ac:dyDescent="0.25">
      <c r="B6" s="15" t="str">
        <f>'Balance Sheet'!B19</f>
        <v>Total Current Liabilities</v>
      </c>
      <c r="C6" s="16">
        <f>'Balance Sheet'!C19</f>
        <v>12481.24</v>
      </c>
      <c r="D6" s="16">
        <f>'Balance Sheet'!D19</f>
        <v>13776.74</v>
      </c>
      <c r="E6" s="16">
        <f>'Balance Sheet'!E19</f>
        <v>15182.099999999999</v>
      </c>
      <c r="F6" s="16">
        <f>'Balance Sheet'!F19</f>
        <v>17256.37</v>
      </c>
      <c r="G6" s="16">
        <f>'Balance Sheet'!G19</f>
        <v>20224.45</v>
      </c>
    </row>
  </sheetData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A3EE4-5164-4B50-A484-A871C28C8C98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3" width="13.140625" bestFit="1" customWidth="1"/>
    <col min="4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Sheet'!B40</f>
        <v>Total Assets</v>
      </c>
      <c r="C5" s="16">
        <f>'Balance Sheet'!C40</f>
        <v>61334.14</v>
      </c>
      <c r="D5" s="16">
        <f>'Balance Sheet'!D40</f>
        <v>121707.05000000002</v>
      </c>
      <c r="E5" s="16">
        <f>'Balance Sheet'!E40</f>
        <v>182808.5</v>
      </c>
      <c r="F5" s="16">
        <f>'Balance Sheet'!F40</f>
        <v>227084.28999999998</v>
      </c>
      <c r="G5" s="16">
        <f>'Balance Sheet'!G40</f>
        <v>300871.98000000004</v>
      </c>
    </row>
    <row r="6" spans="2:7" ht="18.75" x14ac:dyDescent="0.25">
      <c r="B6" s="15" t="str">
        <f>'Balance Sheet'!B30</f>
        <v>Total Non Current Assets</v>
      </c>
      <c r="C6" s="16">
        <f>'Balance Sheet'!C30</f>
        <v>46870.55</v>
      </c>
      <c r="D6" s="16">
        <f>'Balance Sheet'!D30</f>
        <v>51396.86</v>
      </c>
      <c r="E6" s="16">
        <f>'Balance Sheet'!E30</f>
        <v>56042.080000000002</v>
      </c>
      <c r="F6" s="16">
        <f>'Balance Sheet'!F30</f>
        <v>61697.12000000001</v>
      </c>
      <c r="G6" s="16">
        <f>'Balance Sheet'!G30</f>
        <v>68129.820000000007</v>
      </c>
    </row>
  </sheetData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3C17F-FE0F-41E7-BDED-A9817C4D3D24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3" width="13.140625" bestFit="1" customWidth="1"/>
    <col min="4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Sheet'!B40</f>
        <v>Total Assets</v>
      </c>
      <c r="C5" s="16">
        <f>'Balance Sheet'!C40</f>
        <v>61334.14</v>
      </c>
      <c r="D5" s="16">
        <f>'Balance Sheet'!D40</f>
        <v>121707.05000000002</v>
      </c>
      <c r="E5" s="16">
        <f>'Balance Sheet'!E40</f>
        <v>182808.5</v>
      </c>
      <c r="F5" s="16">
        <f>'Balance Sheet'!F40</f>
        <v>227084.28999999998</v>
      </c>
      <c r="G5" s="16">
        <f>'Balance Sheet'!G40</f>
        <v>300871.98000000004</v>
      </c>
    </row>
    <row r="6" spans="2:7" ht="18.75" x14ac:dyDescent="0.25">
      <c r="B6" s="15" t="str">
        <f>'Balance Sheet'!B39</f>
        <v>Total Current Assets</v>
      </c>
      <c r="C6" s="16">
        <f>'Balance Sheet'!C39</f>
        <v>14463.59</v>
      </c>
      <c r="D6" s="16">
        <f>'Balance Sheet'!D39</f>
        <v>70310.190000000017</v>
      </c>
      <c r="E6" s="16">
        <f>'Balance Sheet'!E39</f>
        <v>126766.42</v>
      </c>
      <c r="F6" s="16">
        <f>'Balance Sheet'!F39</f>
        <v>165387.16999999998</v>
      </c>
      <c r="G6" s="16">
        <f>'Balance Sheet'!G39</f>
        <v>232742.16000000003</v>
      </c>
    </row>
  </sheetData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2C25B-052B-428C-9806-3BC1284B2F5F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Statement'!B15</f>
        <v>Total Expenditure</v>
      </c>
      <c r="C5" s="16">
        <f>'Income Statement'!C15</f>
        <v>10030.209999999999</v>
      </c>
      <c r="D5" s="16">
        <f>'Income Statement'!D15</f>
        <v>12261.96</v>
      </c>
      <c r="E5" s="16">
        <f>'Income Statement'!E15</f>
        <v>11033.27</v>
      </c>
      <c r="F5" s="16">
        <f>'Income Statement'!F15</f>
        <v>10308.82</v>
      </c>
      <c r="G5" s="16">
        <f>'Income Statement'!G15</f>
        <v>18614.349999999999</v>
      </c>
    </row>
    <row r="6" spans="2:7" ht="18.75" x14ac:dyDescent="0.25">
      <c r="B6" s="15" t="str">
        <f>'Income Statement'!B10</f>
        <v>Total Income</v>
      </c>
      <c r="C6" s="16">
        <f>'Income Statement'!C10</f>
        <v>55170.85</v>
      </c>
      <c r="D6" s="16">
        <f>'Income Statement'!D10</f>
        <v>77082.010000000009</v>
      </c>
      <c r="E6" s="16">
        <f>'Income Statement'!E10</f>
        <v>73901.429999999993</v>
      </c>
      <c r="F6" s="16">
        <f>'Income Statement'!F10</f>
        <v>58271.97</v>
      </c>
      <c r="G6" s="16">
        <f>'Income Statement'!G10</f>
        <v>93942.080000000002</v>
      </c>
    </row>
  </sheetData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042074-F3A5-4544-8E32-7527A60CD888}">
  <dimension ref="B4:G6"/>
  <sheetViews>
    <sheetView showGridLines="0" tabSelected="1" workbookViewId="0">
      <selection activeCell="B4" sqref="B4"/>
    </sheetView>
  </sheetViews>
  <sheetFormatPr defaultRowHeight="15" x14ac:dyDescent="0.25"/>
  <cols>
    <col min="2" max="2" width="42.570312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Statement'!B30</f>
        <v>Amount C\F to Balance Sheet</v>
      </c>
      <c r="C5" s="16">
        <f>'Income Statement'!C30</f>
        <v>39089.129999999997</v>
      </c>
      <c r="D5" s="16">
        <f>'Income Statement'!D30</f>
        <v>57625.180000000015</v>
      </c>
      <c r="E5" s="16">
        <f>'Income Statement'!E30</f>
        <v>55603.749999999978</v>
      </c>
      <c r="F5" s="16">
        <f>'Income Statement'!F30</f>
        <v>41788.850000000006</v>
      </c>
      <c r="G5" s="16">
        <f>'Income Statement'!G30</f>
        <v>69545.190000000017</v>
      </c>
    </row>
    <row r="6" spans="2:7" ht="18.75" x14ac:dyDescent="0.25">
      <c r="B6" s="15" t="str">
        <f>'Income Statement'!B27</f>
        <v>Reported Net Profit(PAT)</v>
      </c>
      <c r="C6" s="16">
        <f>'Income Statement'!C27</f>
        <v>41195.99</v>
      </c>
      <c r="D6" s="16">
        <f>'Income Statement'!D27</f>
        <v>59715.790000000015</v>
      </c>
      <c r="E6" s="16">
        <f>'Income Statement'!E27</f>
        <v>59564.75999999998</v>
      </c>
      <c r="F6" s="16">
        <f>'Income Statement'!F27</f>
        <v>44027.430000000008</v>
      </c>
      <c r="G6" s="16">
        <f>'Income Statement'!G27</f>
        <v>69545.190000000017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4FC5C-4A91-4847-BF2F-E4ACF69686ED}">
  <dimension ref="B3:G48"/>
  <sheetViews>
    <sheetView showGridLines="0" topLeftCell="A34" workbookViewId="0">
      <selection activeCell="D48" sqref="D48:G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7" width="15.42578125" bestFit="1" customWidth="1"/>
  </cols>
  <sheetData>
    <row r="3" spans="2:7" ht="18.75" x14ac:dyDescent="0.25">
      <c r="B3" s="10" t="s">
        <v>143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129</v>
      </c>
      <c r="C5" s="4"/>
      <c r="D5" s="5">
        <f>'Income Statement'!D25</f>
        <v>62994.210000000014</v>
      </c>
      <c r="E5" s="5">
        <f>'Income Statement'!E25</f>
        <v>60479.059999999983</v>
      </c>
      <c r="F5" s="5">
        <f>'Income Statement'!F25</f>
        <v>45610.060000000005</v>
      </c>
      <c r="G5" s="5">
        <f>'Income Statement'!G25</f>
        <v>72705.080000000016</v>
      </c>
    </row>
    <row r="6" spans="2:7" ht="18.75" x14ac:dyDescent="0.25">
      <c r="B6" s="8" t="s">
        <v>130</v>
      </c>
      <c r="C6" s="4"/>
      <c r="D6" s="4"/>
      <c r="E6" s="4"/>
      <c r="F6" s="4"/>
      <c r="G6" s="4"/>
    </row>
    <row r="7" spans="2:7" ht="18.75" x14ac:dyDescent="0.25">
      <c r="B7" s="8" t="s">
        <v>125</v>
      </c>
      <c r="C7" s="4"/>
      <c r="D7" s="5">
        <f>'Income Statement'!D18</f>
        <v>1666.64</v>
      </c>
      <c r="E7" s="5">
        <f>'Income Statement'!E18</f>
        <v>2080.16</v>
      </c>
      <c r="F7" s="5">
        <f>'Income Statement'!F18</f>
        <v>2173.8200000000002</v>
      </c>
      <c r="G7" s="5">
        <f>'Income Statement'!G18</f>
        <v>2420.17</v>
      </c>
    </row>
    <row r="8" spans="2:7" ht="18.75" x14ac:dyDescent="0.25">
      <c r="B8" s="8" t="s">
        <v>131</v>
      </c>
      <c r="C8" s="4"/>
      <c r="D8" s="4">
        <f>'Income Statement'!D20</f>
        <v>159.19999999999999</v>
      </c>
      <c r="E8" s="4">
        <f>'Income Statement'!E20</f>
        <v>308.94</v>
      </c>
      <c r="F8" s="4">
        <f>'Income Statement'!F20</f>
        <v>179.27</v>
      </c>
      <c r="G8" s="4">
        <f>'Income Statement'!G20</f>
        <v>202.48</v>
      </c>
    </row>
    <row r="9" spans="2:7" ht="18.75" x14ac:dyDescent="0.25">
      <c r="B9" s="8" t="s">
        <v>59</v>
      </c>
      <c r="C9" s="4"/>
      <c r="D9" s="5">
        <f>'Income Statement'!D8</f>
        <v>1214.27</v>
      </c>
      <c r="E9" s="5">
        <f>'Income Statement'!E8</f>
        <v>1537.15</v>
      </c>
      <c r="F9" s="5">
        <f>'Income Statement'!F8</f>
        <v>1120.2</v>
      </c>
      <c r="G9" s="5">
        <f>'Income Statement'!G8</f>
        <v>1172.25</v>
      </c>
    </row>
    <row r="10" spans="2:7" ht="18.75" x14ac:dyDescent="0.25">
      <c r="B10" s="9" t="s">
        <v>132</v>
      </c>
      <c r="C10" s="6"/>
      <c r="D10" s="7">
        <f>D7+D8-D9</f>
        <v>611.57000000000016</v>
      </c>
      <c r="E10" s="7">
        <f t="shared" ref="E10:G10" si="0">E7+E8-E9</f>
        <v>851.94999999999982</v>
      </c>
      <c r="F10" s="7">
        <f t="shared" si="0"/>
        <v>1232.8900000000001</v>
      </c>
      <c r="G10" s="7">
        <f t="shared" si="0"/>
        <v>1450.4</v>
      </c>
    </row>
    <row r="11" spans="2:7" ht="18.75" x14ac:dyDescent="0.25">
      <c r="B11" s="8" t="s">
        <v>133</v>
      </c>
      <c r="C11" s="4"/>
      <c r="D11" s="4"/>
      <c r="E11" s="4"/>
      <c r="F11" s="4"/>
      <c r="G11" s="4"/>
    </row>
    <row r="12" spans="2:7" ht="18.75" x14ac:dyDescent="0.25">
      <c r="B12" s="8" t="str">
        <f>'Balance Sheet'!B31</f>
        <v>Deferred Tax Assets [Net]</v>
      </c>
      <c r="C12" s="4"/>
      <c r="D12" s="4">
        <f>'Balance Sheet'!C31-'Balance Sheet'!D31</f>
        <v>0</v>
      </c>
      <c r="E12" s="4">
        <f>'Balance Sheet'!D31-'Balance Sheet'!E31</f>
        <v>0</v>
      </c>
      <c r="F12" s="4">
        <f>'Balance Sheet'!E31-'Balance Sheet'!F31</f>
        <v>0</v>
      </c>
      <c r="G12" s="4">
        <f>'Balance Sheet'!F31-'Balance Sheet'!G31</f>
        <v>-432.04</v>
      </c>
    </row>
    <row r="13" spans="2:7" ht="18.75" x14ac:dyDescent="0.25">
      <c r="B13" s="8" t="str">
        <f>'Balance Sheet'!B32</f>
        <v>Long Term Loans And Advances</v>
      </c>
      <c r="C13" s="4"/>
      <c r="D13" s="4">
        <f>'Balance Sheet'!C32-'Balance Sheet'!D32</f>
        <v>-119.23000000000002</v>
      </c>
      <c r="E13" s="4">
        <f>'Balance Sheet'!D32-'Balance Sheet'!E32</f>
        <v>113.16999999999996</v>
      </c>
      <c r="F13" s="4">
        <f>'Balance Sheet'!E32-'Balance Sheet'!F32</f>
        <v>165.76</v>
      </c>
      <c r="G13" s="4">
        <f>'Balance Sheet'!F32-'Balance Sheet'!G32</f>
        <v>104.99000000000001</v>
      </c>
    </row>
    <row r="14" spans="2:7" ht="18.75" x14ac:dyDescent="0.25">
      <c r="B14" s="8" t="str">
        <f>'Balance Sheet'!B33</f>
        <v>Other Non-Current Assets</v>
      </c>
      <c r="C14" s="4"/>
      <c r="D14" s="5">
        <f>'Balance Sheet'!C33-'Balance Sheet'!D33</f>
        <v>-219.40000000000009</v>
      </c>
      <c r="E14" s="5">
        <f>'Balance Sheet'!D33-'Balance Sheet'!E33</f>
        <v>1051.23</v>
      </c>
      <c r="F14" s="5">
        <f>'Balance Sheet'!E33-'Balance Sheet'!F33</f>
        <v>-403.36000000000013</v>
      </c>
      <c r="G14" s="5">
        <f>'Balance Sheet'!F33-'Balance Sheet'!G33</f>
        <v>-86.119999999999891</v>
      </c>
    </row>
    <row r="15" spans="2:7" ht="18.75" x14ac:dyDescent="0.25">
      <c r="B15" s="8" t="str">
        <f>'Balance Sheet'!B34</f>
        <v>Short Term Loans And Advances</v>
      </c>
      <c r="C15" s="4"/>
      <c r="D15" s="4">
        <f>'Balance Sheet'!C34-'Balance Sheet'!D34</f>
        <v>-130.40999999999997</v>
      </c>
      <c r="E15" s="4">
        <f>'Balance Sheet'!D34-'Balance Sheet'!E34</f>
        <v>-245.98000000000002</v>
      </c>
      <c r="F15" s="4">
        <f>'Balance Sheet'!E34-'Balance Sheet'!F34</f>
        <v>384.31000000000006</v>
      </c>
      <c r="G15" s="4">
        <f>'Balance Sheet'!F34-'Balance Sheet'!G34</f>
        <v>586.13</v>
      </c>
    </row>
    <row r="16" spans="2:7" ht="18.75" x14ac:dyDescent="0.25">
      <c r="B16" s="8" t="str">
        <f>'Balance Sheet'!B35</f>
        <v>OtherCurrentAssets</v>
      </c>
      <c r="C16" s="4"/>
      <c r="D16" s="5">
        <f>'Balance Sheet'!C35-'Balance Sheet'!D35</f>
        <v>-340.75</v>
      </c>
      <c r="E16" s="5">
        <f>'Balance Sheet'!D35-'Balance Sheet'!E35</f>
        <v>260.53999999999996</v>
      </c>
      <c r="F16" s="5">
        <f>'Balance Sheet'!E35-'Balance Sheet'!F35</f>
        <v>475.75</v>
      </c>
      <c r="G16" s="5">
        <f>'Balance Sheet'!F35-'Balance Sheet'!G35</f>
        <v>-1183.23</v>
      </c>
    </row>
    <row r="17" spans="2:7" ht="18.75" x14ac:dyDescent="0.25">
      <c r="B17" s="8" t="str">
        <f>'Balance Sheet'!B36</f>
        <v>Inventories</v>
      </c>
      <c r="C17" s="4"/>
      <c r="D17" s="5">
        <f>'Balance Sheet'!C36-'Balance Sheet'!D36</f>
        <v>-570.12999999999988</v>
      </c>
      <c r="E17" s="5">
        <f>'Balance Sheet'!D36-'Balance Sheet'!E36</f>
        <v>-680.37000000000035</v>
      </c>
      <c r="F17" s="5">
        <f>'Balance Sheet'!E36-'Balance Sheet'!F36</f>
        <v>193.2800000000002</v>
      </c>
      <c r="G17" s="5">
        <f>'Balance Sheet'!F36-'Balance Sheet'!G36</f>
        <v>-586.88000000000011</v>
      </c>
    </row>
    <row r="18" spans="2:7" ht="18.75" x14ac:dyDescent="0.25">
      <c r="B18" s="8" t="str">
        <f>'Balance Sheet'!B37</f>
        <v>Trade Receivables</v>
      </c>
      <c r="C18" s="4"/>
      <c r="D18" s="5">
        <f>'Balance Sheet'!C37-'Balance Sheet'!D37</f>
        <v>-933.83000000000038</v>
      </c>
      <c r="E18" s="5">
        <f>'Balance Sheet'!D37-'Balance Sheet'!E37</f>
        <v>-454.92000000000007</v>
      </c>
      <c r="F18" s="5">
        <f>'Balance Sheet'!E37-'Balance Sheet'!F37</f>
        <v>1316.8100000000004</v>
      </c>
      <c r="G18" s="5">
        <f>'Balance Sheet'!F37-'Balance Sheet'!G37</f>
        <v>-3945.0299999999997</v>
      </c>
    </row>
    <row r="19" spans="2:7" ht="18.75" x14ac:dyDescent="0.25">
      <c r="B19" s="8" t="s">
        <v>134</v>
      </c>
      <c r="C19" s="4"/>
      <c r="D19" s="4"/>
      <c r="E19" s="4"/>
      <c r="F19" s="4"/>
      <c r="G19" s="4"/>
    </row>
    <row r="20" spans="2:7" ht="18.75" x14ac:dyDescent="0.25">
      <c r="B20" s="8" t="str">
        <f>'Balance Sheet'!B14</f>
        <v>Long Term Provisions</v>
      </c>
      <c r="C20" s="4"/>
      <c r="D20" s="4">
        <f>'Balance Sheet'!D14-'Balance Sheet'!C14</f>
        <v>112.93999999999994</v>
      </c>
      <c r="E20" s="4">
        <f>'Balance Sheet'!E14-'Balance Sheet'!D14</f>
        <v>-163.52999999999997</v>
      </c>
      <c r="F20" s="4">
        <f>'Balance Sheet'!F14-'Balance Sheet'!E14</f>
        <v>18.509999999999991</v>
      </c>
      <c r="G20" s="4">
        <f>'Balance Sheet'!G14-'Balance Sheet'!F14</f>
        <v>119.06000000000006</v>
      </c>
    </row>
    <row r="21" spans="2:7" ht="18.75" x14ac:dyDescent="0.25">
      <c r="B21" s="8" t="str">
        <f>'Balance Sheet'!B15</f>
        <v>Short Term Provisions</v>
      </c>
      <c r="C21" s="4"/>
      <c r="D21" s="4">
        <f>'Balance Sheet'!D15-'Balance Sheet'!C15</f>
        <v>-110.03000000000009</v>
      </c>
      <c r="E21" s="4">
        <f>'Balance Sheet'!E15-'Balance Sheet'!D15</f>
        <v>20.110000000000014</v>
      </c>
      <c r="F21" s="4">
        <f>'Balance Sheet'!F15-'Balance Sheet'!E15</f>
        <v>53.550000000000068</v>
      </c>
      <c r="G21" s="4">
        <f>'Balance Sheet'!G15-'Balance Sheet'!F15</f>
        <v>44.490000000000009</v>
      </c>
    </row>
    <row r="22" spans="2:7" ht="18.75" x14ac:dyDescent="0.25">
      <c r="B22" s="8" t="str">
        <f>'Balance Sheet'!B16</f>
        <v>Other Long Term Liabilities</v>
      </c>
      <c r="C22" s="4"/>
      <c r="D22" s="5">
        <f>'Balance Sheet'!D16-'Balance Sheet'!C16</f>
        <v>1774.08</v>
      </c>
      <c r="E22" s="5">
        <f>'Balance Sheet'!E16-'Balance Sheet'!D16</f>
        <v>1274.0600000000004</v>
      </c>
      <c r="F22" s="5">
        <f>'Balance Sheet'!F16-'Balance Sheet'!E16</f>
        <v>938.27999999999975</v>
      </c>
      <c r="G22" s="5">
        <f>'Balance Sheet'!G16-'Balance Sheet'!F16</f>
        <v>1147.9799999999996</v>
      </c>
    </row>
    <row r="23" spans="2:7" ht="18.75" x14ac:dyDescent="0.25">
      <c r="B23" s="8" t="str">
        <f>'Balance Sheet'!B17</f>
        <v>Trade Payables</v>
      </c>
      <c r="C23" s="4"/>
      <c r="D23" s="5">
        <f>'Balance Sheet'!D17-'Balance Sheet'!C17</f>
        <v>-27.819999999999709</v>
      </c>
      <c r="E23" s="5">
        <f>'Balance Sheet'!E17-'Balance Sheet'!D17</f>
        <v>46.109999999999673</v>
      </c>
      <c r="F23" s="5">
        <f>'Balance Sheet'!F17-'Balance Sheet'!E17</f>
        <v>531.00000000000045</v>
      </c>
      <c r="G23" s="5">
        <f>'Balance Sheet'!G17-'Balance Sheet'!F17</f>
        <v>908.07999999999993</v>
      </c>
    </row>
    <row r="24" spans="2:7" ht="18.75" x14ac:dyDescent="0.25">
      <c r="B24" s="8" t="str">
        <f>'Balance Sheet'!B18</f>
        <v>Other Current Liabilities</v>
      </c>
      <c r="C24" s="4"/>
      <c r="D24" s="5">
        <f>'Balance Sheet'!D18-'Balance Sheet'!C18</f>
        <v>-453.67000000000007</v>
      </c>
      <c r="E24" s="5">
        <f>'Balance Sheet'!E18-'Balance Sheet'!D18</f>
        <v>228.60999999999967</v>
      </c>
      <c r="F24" s="5">
        <f>'Balance Sheet'!F18-'Balance Sheet'!E18</f>
        <v>532.93000000000029</v>
      </c>
      <c r="G24" s="5">
        <f>'Balance Sheet'!G18-'Balance Sheet'!F18</f>
        <v>748.47000000000025</v>
      </c>
    </row>
    <row r="25" spans="2:7" ht="18.75" x14ac:dyDescent="0.25">
      <c r="B25" s="8" t="s">
        <v>103</v>
      </c>
      <c r="C25" s="4"/>
      <c r="D25" s="4"/>
      <c r="E25" s="4"/>
      <c r="F25" s="4"/>
      <c r="G25" s="4"/>
    </row>
    <row r="26" spans="2:7" ht="18.75" x14ac:dyDescent="0.25">
      <c r="B26" s="8" t="str">
        <f>'Income Statement'!B26</f>
        <v>Total Tax Expenses</v>
      </c>
      <c r="C26" s="4"/>
      <c r="D26" s="5">
        <f>'Income Statement'!D26</f>
        <v>3278.42</v>
      </c>
      <c r="E26" s="5">
        <f>'Income Statement'!E26</f>
        <v>914.3</v>
      </c>
      <c r="F26" s="5">
        <f>'Income Statement'!F26</f>
        <v>1582.63</v>
      </c>
      <c r="G26" s="5">
        <f>'Income Statement'!G26</f>
        <v>3159.89</v>
      </c>
    </row>
    <row r="27" spans="2:7" ht="18.75" x14ac:dyDescent="0.25">
      <c r="B27" s="9" t="s">
        <v>135</v>
      </c>
      <c r="C27" s="6"/>
      <c r="D27" s="7">
        <f>D12+D13+D14+D15+D16+D17+D18+D20+D21+D22+D23+D24-D26+D10+D5</f>
        <v>59309.110000000015</v>
      </c>
      <c r="E27" s="7">
        <f t="shared" ref="E27:G27" si="1">E12+E13+E14+E15+E16+E17+E18+E20+E21+E22+E23+E24-E26+E10+E5</f>
        <v>61865.739999999983</v>
      </c>
      <c r="F27" s="7">
        <f t="shared" si="1"/>
        <v>49467.140000000007</v>
      </c>
      <c r="G27" s="7">
        <f t="shared" si="1"/>
        <v>68421.49000000002</v>
      </c>
    </row>
    <row r="28" spans="2:7" ht="18.75" x14ac:dyDescent="0.25">
      <c r="B28" s="8" t="s">
        <v>136</v>
      </c>
      <c r="C28" s="4"/>
      <c r="D28" s="4"/>
      <c r="E28" s="4"/>
      <c r="F28" s="4"/>
      <c r="G28" s="4"/>
    </row>
    <row r="29" spans="2:7" ht="18.75" x14ac:dyDescent="0.25">
      <c r="B29" s="8" t="str">
        <f>'Balance Sheet'!B23</f>
        <v>Tangible Assets</v>
      </c>
      <c r="C29" s="4"/>
      <c r="D29" s="5">
        <f>'Balance Sheet'!C23-'Balance Sheet'!D23</f>
        <v>-1870.9300000000003</v>
      </c>
      <c r="E29" s="5">
        <f>'Balance Sheet'!D23-'Balance Sheet'!E23</f>
        <v>-5061.4900000000016</v>
      </c>
      <c r="F29" s="5">
        <f>'Balance Sheet'!E23-'Balance Sheet'!F23</f>
        <v>-2510.4000000000015</v>
      </c>
      <c r="G29" s="5">
        <f>'Balance Sheet'!F23-'Balance Sheet'!G23</f>
        <v>-21202.799999999996</v>
      </c>
    </row>
    <row r="30" spans="2:7" ht="18.75" x14ac:dyDescent="0.25">
      <c r="B30" s="8" t="str">
        <f>'Balance Sheet'!B24</f>
        <v>Intangible Assets</v>
      </c>
      <c r="C30" s="4"/>
      <c r="D30" s="5">
        <f>'Balance Sheet'!C24-'Balance Sheet'!D24</f>
        <v>-349.05999999999995</v>
      </c>
      <c r="E30" s="5">
        <f>'Balance Sheet'!D24-'Balance Sheet'!E24</f>
        <v>-467.84999999999991</v>
      </c>
      <c r="F30" s="5">
        <f>'Balance Sheet'!E24-'Balance Sheet'!F24</f>
        <v>-420.31999999999994</v>
      </c>
      <c r="G30" s="5">
        <f>'Balance Sheet'!F24-'Balance Sheet'!G24</f>
        <v>2300.6799999999998</v>
      </c>
    </row>
    <row r="31" spans="2:7" ht="18.75" x14ac:dyDescent="0.25">
      <c r="B31" s="8" t="str">
        <f>'Balance Sheet'!B27</f>
        <v>Non-Current Investments</v>
      </c>
      <c r="C31" s="4"/>
      <c r="D31" s="5">
        <f>'Balance Sheet'!C27-'Balance Sheet'!D27</f>
        <v>-555.31999999999971</v>
      </c>
      <c r="E31" s="5">
        <f>'Balance Sheet'!D27-'Balance Sheet'!E27</f>
        <v>732.76999999999862</v>
      </c>
      <c r="F31" s="5">
        <f>'Balance Sheet'!E27-'Balance Sheet'!F27</f>
        <v>-2696.3099999999995</v>
      </c>
      <c r="G31" s="5">
        <f>'Balance Sheet'!F27-'Balance Sheet'!G27</f>
        <v>-3818.8900000000012</v>
      </c>
    </row>
    <row r="32" spans="2:7" ht="18.75" x14ac:dyDescent="0.25">
      <c r="B32" s="8" t="str">
        <f>'Balance Sheet'!B28</f>
        <v>Current Investments</v>
      </c>
      <c r="C32" s="4"/>
      <c r="D32" s="4">
        <f>'Balance Sheet'!C28-'Balance Sheet'!D28</f>
        <v>381.47</v>
      </c>
      <c r="E32" s="4">
        <f>'Balance Sheet'!D28-'Balance Sheet'!E28</f>
        <v>0</v>
      </c>
      <c r="F32" s="4">
        <f>'Balance Sheet'!E28-'Balance Sheet'!F28</f>
        <v>-468.48</v>
      </c>
      <c r="G32" s="4">
        <f>'Balance Sheet'!F28-'Balance Sheet'!G28</f>
        <v>468.48</v>
      </c>
    </row>
    <row r="33" spans="2:7" ht="18.75" x14ac:dyDescent="0.25">
      <c r="B33" s="8" t="str">
        <f>'Balance Sheet'!B29</f>
        <v>Capital Work-In-Progress</v>
      </c>
      <c r="C33" s="4"/>
      <c r="D33" s="5">
        <f>'Balance Sheet'!C29-'Balance Sheet'!D29</f>
        <v>-3799.1099999999997</v>
      </c>
      <c r="E33" s="5">
        <f>'Balance Sheet'!D29-'Balance Sheet'!E29</f>
        <v>-1928.8099999999995</v>
      </c>
      <c r="F33" s="5">
        <f>'Balance Sheet'!E29-'Balance Sheet'!F29</f>
        <v>-1733.3500000000004</v>
      </c>
      <c r="G33" s="5">
        <f>'Balance Sheet'!F29-'Balance Sheet'!G29</f>
        <v>13399.66</v>
      </c>
    </row>
    <row r="34" spans="2:7" ht="18.75" x14ac:dyDescent="0.25">
      <c r="B34" s="8" t="s">
        <v>59</v>
      </c>
      <c r="C34" s="4"/>
      <c r="D34" s="5">
        <f>'Income Statement'!D8</f>
        <v>1214.27</v>
      </c>
      <c r="E34" s="5">
        <f>'Income Statement'!E8</f>
        <v>1537.15</v>
      </c>
      <c r="F34" s="5">
        <f>'Income Statement'!F8</f>
        <v>1120.2</v>
      </c>
      <c r="G34" s="5">
        <f>'Income Statement'!G8</f>
        <v>1172.25</v>
      </c>
    </row>
    <row r="35" spans="2:7" ht="18.75" x14ac:dyDescent="0.25">
      <c r="B35" s="9" t="s">
        <v>137</v>
      </c>
      <c r="C35" s="6"/>
      <c r="D35" s="7">
        <f>D29+D30+D31+D32+D33+D34</f>
        <v>-4978.68</v>
      </c>
      <c r="E35" s="7">
        <f t="shared" ref="E35:G35" si="2">E29+E30+E31+E32+E33+E34</f>
        <v>-5188.2300000000032</v>
      </c>
      <c r="F35" s="7">
        <f t="shared" si="2"/>
        <v>-6708.6600000000008</v>
      </c>
      <c r="G35" s="7">
        <f t="shared" si="2"/>
        <v>-7680.6199999999953</v>
      </c>
    </row>
    <row r="36" spans="2:7" ht="18.75" x14ac:dyDescent="0.25">
      <c r="B36" s="8" t="s">
        <v>138</v>
      </c>
      <c r="C36" s="4"/>
      <c r="D36" s="4"/>
      <c r="E36" s="4"/>
      <c r="F36" s="4"/>
      <c r="G36" s="4"/>
    </row>
    <row r="37" spans="2:7" ht="18.75" x14ac:dyDescent="0.25">
      <c r="B37" s="8" t="str">
        <f>'Balance Sheet'!B5</f>
        <v>Equity Share Capital</v>
      </c>
      <c r="C37" s="4"/>
      <c r="D37" s="5">
        <f>'Balance Sheet'!D5-'Balance Sheet'!C5</f>
        <v>0</v>
      </c>
      <c r="E37" s="5">
        <f>'Balance Sheet'!E5-'Balance Sheet'!D5</f>
        <v>2255.0700000000002</v>
      </c>
      <c r="F37" s="5">
        <f>'Balance Sheet'!F5-'Balance Sheet'!E5</f>
        <v>-69.75</v>
      </c>
      <c r="G37" s="5">
        <f>'Balance Sheet'!G5-'Balance Sheet'!F5</f>
        <v>0</v>
      </c>
    </row>
    <row r="38" spans="2:7" ht="18.75" x14ac:dyDescent="0.25">
      <c r="B38" s="8" t="str">
        <f>'Balance Sheet'!B6</f>
        <v>Preference Share Capital</v>
      </c>
      <c r="C38" s="4"/>
      <c r="D38" s="4">
        <f>'Balance Sheet'!D6-'Balance Sheet'!C6</f>
        <v>0</v>
      </c>
      <c r="E38" s="4">
        <f>'Balance Sheet'!E6-'Balance Sheet'!D6</f>
        <v>0</v>
      </c>
      <c r="F38" s="4">
        <f>'Balance Sheet'!F6-'Balance Sheet'!E6</f>
        <v>0</v>
      </c>
      <c r="G38" s="4">
        <f>'Balance Sheet'!G6-'Balance Sheet'!F6</f>
        <v>0</v>
      </c>
    </row>
    <row r="39" spans="2:7" ht="18.75" x14ac:dyDescent="0.25">
      <c r="B39" s="8" t="str">
        <f>'Balance Sheet'!B10</f>
        <v>Long Term Borrowings</v>
      </c>
      <c r="C39" s="4"/>
      <c r="D39" s="5">
        <f>'Balance Sheet'!D10-'Balance Sheet'!C10</f>
        <v>-90.810000000000173</v>
      </c>
      <c r="E39" s="5">
        <f>'Balance Sheet'!E10-'Balance Sheet'!D10</f>
        <v>2745.57</v>
      </c>
      <c r="F39" s="5">
        <f>'Balance Sheet'!F10-'Balance Sheet'!E10</f>
        <v>1463.9999999999995</v>
      </c>
      <c r="G39" s="5">
        <f>'Balance Sheet'!G10-'Balance Sheet'!F10</f>
        <v>230.66000000000076</v>
      </c>
    </row>
    <row r="40" spans="2:7" ht="18.75" x14ac:dyDescent="0.25">
      <c r="B40" s="8" t="str">
        <f>'Balance Sheet'!B11</f>
        <v>Deferred Tax Liabilities [Net]</v>
      </c>
      <c r="C40" s="4"/>
      <c r="D40" s="5">
        <f>'Balance Sheet'!D11-'Balance Sheet'!C11</f>
        <v>1470.7700000000004</v>
      </c>
      <c r="E40" s="5">
        <f>'Balance Sheet'!E11-'Balance Sheet'!D11</f>
        <v>-2470.69</v>
      </c>
      <c r="F40" s="5">
        <f>'Balance Sheet'!F11-'Balance Sheet'!E11</f>
        <v>49.269999999999982</v>
      </c>
      <c r="G40" s="5">
        <f>'Balance Sheet'!G11-'Balance Sheet'!F11</f>
        <v>110.71000000000004</v>
      </c>
    </row>
    <row r="41" spans="2:7" ht="18.75" x14ac:dyDescent="0.25">
      <c r="B41" s="8" t="str">
        <f>'Balance Sheet'!B12</f>
        <v>Short Term Borrowings</v>
      </c>
      <c r="C41" s="4"/>
      <c r="D41" s="5">
        <f>'Balance Sheet'!D12-'Balance Sheet'!C12</f>
        <v>65.240000000000123</v>
      </c>
      <c r="E41" s="5">
        <f>'Balance Sheet'!E12-'Balance Sheet'!D12</f>
        <v>1521.2999999999997</v>
      </c>
      <c r="F41" s="5">
        <f>'Balance Sheet'!F12-'Balance Sheet'!E12</f>
        <v>-1041.2999999999997</v>
      </c>
      <c r="G41" s="5">
        <f>'Balance Sheet'!G12-'Balance Sheet'!F12</f>
        <v>839.36000000000013</v>
      </c>
    </row>
    <row r="42" spans="2:7" ht="18.75" x14ac:dyDescent="0.25">
      <c r="B42" s="8" t="str">
        <f>'Balance Sheet'!B20:G20</f>
        <v>Minority Interest</v>
      </c>
      <c r="C42" s="4"/>
      <c r="D42" s="4">
        <f>'Balance Sheet'!D20-'Balance Sheet'!C20</f>
        <v>7.0300000000000011</v>
      </c>
      <c r="E42" s="4">
        <f>'Balance Sheet'!E20-'Balance Sheet'!D20</f>
        <v>41.09</v>
      </c>
      <c r="F42" s="4">
        <f>'Balance Sheet'!F20-'Balance Sheet'!E20</f>
        <v>10.449999999999989</v>
      </c>
      <c r="G42" s="4">
        <f>'Balance Sheet'!G20-'Balance Sheet'!F20</f>
        <v>93.690000000000012</v>
      </c>
    </row>
    <row r="43" spans="2:7" ht="18.75" x14ac:dyDescent="0.25">
      <c r="B43" s="8" t="s">
        <v>139</v>
      </c>
      <c r="C43" s="4"/>
      <c r="D43" s="4"/>
      <c r="E43" s="4"/>
      <c r="F43" s="4"/>
      <c r="G43" s="4"/>
    </row>
    <row r="44" spans="2:7" ht="18.75" x14ac:dyDescent="0.25">
      <c r="B44" s="8" t="str">
        <f>'Income Statement'!B28</f>
        <v>Equity Share Dividend</v>
      </c>
      <c r="C44" s="4"/>
      <c r="D44" s="5">
        <f>'Income Statement'!D28</f>
        <v>1734.15</v>
      </c>
      <c r="E44" s="5">
        <f>'Income Statement'!E28</f>
        <v>3285.64</v>
      </c>
      <c r="F44" s="5">
        <f>'Income Statement'!F28</f>
        <v>2238.58</v>
      </c>
      <c r="G44" s="5">
        <f>'Income Statement'!G28</f>
        <v>0</v>
      </c>
    </row>
    <row r="45" spans="2:7" ht="18.75" x14ac:dyDescent="0.25">
      <c r="B45" s="8" t="str">
        <f>'Income Statement'!B29</f>
        <v>Tax On Dividend</v>
      </c>
      <c r="C45" s="4"/>
      <c r="D45" s="4">
        <f>'Income Statement'!D29</f>
        <v>356.46</v>
      </c>
      <c r="E45" s="4">
        <f>'Income Statement'!E29</f>
        <v>675.37</v>
      </c>
      <c r="F45" s="4">
        <f>'Income Statement'!F29</f>
        <v>0</v>
      </c>
      <c r="G45" s="4">
        <f>'Income Statement'!G29</f>
        <v>0</v>
      </c>
    </row>
    <row r="46" spans="2:7" ht="18.75" x14ac:dyDescent="0.25">
      <c r="B46" s="8" t="s">
        <v>140</v>
      </c>
      <c r="C46" s="4"/>
      <c r="D46" s="4">
        <f>'Income Statement'!D20</f>
        <v>159.19999999999999</v>
      </c>
      <c r="E46" s="4">
        <f>'Income Statement'!E20</f>
        <v>308.94</v>
      </c>
      <c r="F46" s="4">
        <f>'Income Statement'!F20</f>
        <v>179.27</v>
      </c>
      <c r="G46" s="4">
        <f>'Income Statement'!G20</f>
        <v>202.48</v>
      </c>
    </row>
    <row r="47" spans="2:7" ht="18.75" x14ac:dyDescent="0.25">
      <c r="B47" s="9" t="s">
        <v>141</v>
      </c>
      <c r="C47" s="6"/>
      <c r="D47" s="7">
        <f>D37+D38+D39+D40+D41+D42-D44-D45-D46</f>
        <v>-797.57999999999993</v>
      </c>
      <c r="E47" s="7">
        <f t="shared" ref="E47:G47" si="3">E37+E38+E39+E40+E41+E42-E44-E45-E46</f>
        <v>-177.60999999999973</v>
      </c>
      <c r="F47" s="7">
        <f t="shared" si="3"/>
        <v>-2005.18</v>
      </c>
      <c r="G47" s="7">
        <f t="shared" si="3"/>
        <v>1071.940000000001</v>
      </c>
    </row>
    <row r="48" spans="2:7" ht="18.75" x14ac:dyDescent="0.25">
      <c r="B48" s="9" t="s">
        <v>142</v>
      </c>
      <c r="C48" s="6"/>
      <c r="D48" s="7">
        <f>D27+D35+D47</f>
        <v>53532.850000000013</v>
      </c>
      <c r="E48" s="7">
        <f t="shared" ref="E48:G48" si="4">E27+E35+E47</f>
        <v>56499.89999999998</v>
      </c>
      <c r="F48" s="7">
        <f t="shared" si="4"/>
        <v>40753.300000000003</v>
      </c>
      <c r="G48" s="7">
        <f t="shared" si="4"/>
        <v>61812.810000000027</v>
      </c>
    </row>
  </sheetData>
  <mergeCells count="1">
    <mergeCell ref="B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93055-190C-4D5D-9804-6CC0B1018996}">
  <dimension ref="B3:L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3" width="13.140625" bestFit="1" customWidth="1"/>
    <col min="4" max="4" width="14.85546875" bestFit="1" customWidth="1"/>
    <col min="5" max="6" width="15.5703125" bestFit="1" customWidth="1"/>
    <col min="7" max="7" width="14.85546875" bestFit="1" customWidth="1"/>
  </cols>
  <sheetData>
    <row r="3" spans="2:12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12" ht="19.5" thickBot="1" x14ac:dyDescent="0.3">
      <c r="B5" s="14" t="s">
        <v>145</v>
      </c>
      <c r="C5" s="14"/>
      <c r="D5" s="14"/>
      <c r="E5" s="14"/>
      <c r="F5" s="14"/>
      <c r="G5" s="14"/>
    </row>
    <row r="6" spans="2:12" ht="19.5" thickTop="1" x14ac:dyDescent="0.25">
      <c r="B6" s="15" t="str">
        <f>'Income Statement'!B27</f>
        <v>Reported Net Profit(PAT)</v>
      </c>
      <c r="C6" s="16">
        <f>'Income Statement'!C27</f>
        <v>41195.99</v>
      </c>
      <c r="D6" s="16">
        <f>'Income Statement'!D27</f>
        <v>59715.790000000015</v>
      </c>
      <c r="E6" s="16">
        <f>'Income Statement'!E27</f>
        <v>59564.75999999998</v>
      </c>
      <c r="F6" s="16">
        <f>'Income Statement'!F27</f>
        <v>44027.430000000008</v>
      </c>
      <c r="G6" s="16">
        <f>'Income Statement'!G27</f>
        <v>69545.190000000017</v>
      </c>
      <c r="I6" s="18"/>
      <c r="J6" s="19"/>
      <c r="K6" s="19"/>
      <c r="L6" s="20"/>
    </row>
    <row r="7" spans="2:12" ht="18.75" x14ac:dyDescent="0.25">
      <c r="B7" s="15" t="str">
        <f>'Income Statement'!B35</f>
        <v>Total Shares Outstanding(cr)</v>
      </c>
      <c r="C7" s="16">
        <f>'Income Statement'!C35</f>
        <v>1961.7138095238095</v>
      </c>
      <c r="D7" s="16">
        <f>'Income Statement'!D35</f>
        <v>2059.1651724137937</v>
      </c>
      <c r="E7" s="16">
        <f>'Income Statement'!E35</f>
        <v>2836.4171428571417</v>
      </c>
      <c r="F7" s="16">
        <f>'Income Statement'!F35</f>
        <v>3144.8164285714292</v>
      </c>
      <c r="G7" s="16">
        <f>'Income Statement'!G35</f>
        <v>2483.7567857142863</v>
      </c>
      <c r="I7" s="21"/>
      <c r="J7" s="22"/>
      <c r="K7" s="22"/>
      <c r="L7" s="23"/>
    </row>
    <row r="8" spans="2:12" ht="19.5" thickBot="1" x14ac:dyDescent="0.3">
      <c r="B8" s="17" t="s">
        <v>146</v>
      </c>
      <c r="C8" s="17">
        <f>ROUND(C6/C7, 2)</f>
        <v>21</v>
      </c>
      <c r="D8" s="17">
        <f t="shared" ref="D8:G8" si="0">ROUND(D6/D7, 2)</f>
        <v>29</v>
      </c>
      <c r="E8" s="17">
        <f t="shared" si="0"/>
        <v>21</v>
      </c>
      <c r="F8" s="17">
        <f t="shared" si="0"/>
        <v>14</v>
      </c>
      <c r="G8" s="17">
        <f t="shared" si="0"/>
        <v>28</v>
      </c>
      <c r="I8" s="24"/>
      <c r="J8" s="25"/>
      <c r="K8" s="25"/>
      <c r="L8" s="26"/>
    </row>
    <row r="9" spans="2:12" ht="15.75" thickTop="1" x14ac:dyDescent="0.25"/>
    <row r="10" spans="2:12" ht="19.5" thickBot="1" x14ac:dyDescent="0.3">
      <c r="B10" s="14" t="s">
        <v>147</v>
      </c>
      <c r="C10" s="14"/>
      <c r="D10" s="14"/>
      <c r="E10" s="14"/>
      <c r="F10" s="14"/>
      <c r="G10" s="14"/>
    </row>
    <row r="11" spans="2:12" ht="19.5" thickTop="1" x14ac:dyDescent="0.25">
      <c r="B11" s="15" t="str">
        <f>'Income Statement'!B28</f>
        <v>Equity Share Dividend</v>
      </c>
      <c r="C11" s="16">
        <f>'Income Statement'!C28</f>
        <v>2106.86</v>
      </c>
      <c r="D11" s="16">
        <f>'Income Statement'!D28</f>
        <v>1734.15</v>
      </c>
      <c r="E11" s="16">
        <f>'Income Statement'!E28</f>
        <v>3285.64</v>
      </c>
      <c r="F11" s="16">
        <f>'Income Statement'!F28</f>
        <v>2238.58</v>
      </c>
      <c r="G11" s="16">
        <f>'Income Statement'!G28</f>
        <v>0</v>
      </c>
      <c r="I11" s="18"/>
      <c r="J11" s="19"/>
      <c r="K11" s="19"/>
      <c r="L11" s="20"/>
    </row>
    <row r="12" spans="2:12" ht="18.75" x14ac:dyDescent="0.25">
      <c r="B12" s="15" t="str">
        <f>'Income Statement'!B35</f>
        <v>Total Shares Outstanding(cr)</v>
      </c>
      <c r="C12" s="16">
        <f>'Income Statement'!C35</f>
        <v>1961.7138095238095</v>
      </c>
      <c r="D12" s="16">
        <f>'Income Statement'!D35</f>
        <v>2059.1651724137937</v>
      </c>
      <c r="E12" s="16">
        <f>'Income Statement'!E35</f>
        <v>2836.4171428571417</v>
      </c>
      <c r="F12" s="16">
        <f>'Income Statement'!F35</f>
        <v>3144.8164285714292</v>
      </c>
      <c r="G12" s="16">
        <f>'Income Statement'!G35</f>
        <v>2483.7567857142863</v>
      </c>
      <c r="I12" s="21"/>
      <c r="J12" s="22"/>
      <c r="K12" s="22"/>
      <c r="L12" s="23"/>
    </row>
    <row r="13" spans="2:12" ht="19.5" thickBot="1" x14ac:dyDescent="0.3">
      <c r="B13" s="17" t="s">
        <v>148</v>
      </c>
      <c r="C13" s="17">
        <f>ROUND(C11/C12, 2)</f>
        <v>1.07</v>
      </c>
      <c r="D13" s="17">
        <f t="shared" ref="D13:G13" si="1">ROUND(D11/D12, 2)</f>
        <v>0.84</v>
      </c>
      <c r="E13" s="17">
        <f t="shared" si="1"/>
        <v>1.1599999999999999</v>
      </c>
      <c r="F13" s="17">
        <f t="shared" si="1"/>
        <v>0.71</v>
      </c>
      <c r="G13" s="17">
        <f t="shared" si="1"/>
        <v>0</v>
      </c>
      <c r="I13" s="24"/>
      <c r="J13" s="25"/>
      <c r="K13" s="25"/>
      <c r="L13" s="26"/>
    </row>
    <row r="14" spans="2:12" ht="15.75" thickTop="1" x14ac:dyDescent="0.25"/>
    <row r="15" spans="2:12" ht="19.5" thickBot="1" x14ac:dyDescent="0.3">
      <c r="B15" s="14" t="s">
        <v>149</v>
      </c>
      <c r="C15" s="14"/>
      <c r="D15" s="14"/>
      <c r="E15" s="14"/>
      <c r="F15" s="14"/>
      <c r="G15" s="14"/>
    </row>
    <row r="16" spans="2:12" ht="19.5" thickTop="1" x14ac:dyDescent="0.25">
      <c r="B16" s="15" t="str">
        <f>'Balance Sheet'!B9</f>
        <v>Net Worth</v>
      </c>
      <c r="C16" s="16">
        <f>'Balance Sheet'!C9</f>
        <v>41678.57</v>
      </c>
      <c r="D16" s="16">
        <f>'Balance Sheet'!D9</f>
        <v>99303.750000000029</v>
      </c>
      <c r="E16" s="16">
        <f>'Balance Sheet'!E9</f>
        <v>157162.57</v>
      </c>
      <c r="F16" s="16">
        <f>'Balance Sheet'!F9</f>
        <v>198881.67</v>
      </c>
      <c r="G16" s="16">
        <f>'Balance Sheet'!G9</f>
        <v>268426.86000000004</v>
      </c>
      <c r="I16" s="18"/>
      <c r="J16" s="19"/>
      <c r="K16" s="19"/>
      <c r="L16" s="20"/>
    </row>
    <row r="17" spans="2:12" ht="18.75" x14ac:dyDescent="0.25">
      <c r="B17" s="15" t="str">
        <f>'Income Statement'!B35</f>
        <v>Total Shares Outstanding(cr)</v>
      </c>
      <c r="C17" s="16">
        <f>'Income Statement'!C35</f>
        <v>1961.7138095238095</v>
      </c>
      <c r="D17" s="16">
        <f>'Income Statement'!D35</f>
        <v>2059.1651724137937</v>
      </c>
      <c r="E17" s="16">
        <f>'Income Statement'!E35</f>
        <v>2836.4171428571417</v>
      </c>
      <c r="F17" s="16">
        <f>'Income Statement'!F35</f>
        <v>3144.8164285714292</v>
      </c>
      <c r="G17" s="16">
        <f>'Income Statement'!G35</f>
        <v>2483.7567857142863</v>
      </c>
      <c r="I17" s="21"/>
      <c r="J17" s="22"/>
      <c r="K17" s="22"/>
      <c r="L17" s="23"/>
    </row>
    <row r="18" spans="2:12" ht="19.5" thickBot="1" x14ac:dyDescent="0.3">
      <c r="B18" s="17" t="s">
        <v>150</v>
      </c>
      <c r="C18" s="17">
        <f>ROUND(C16/C17, 2)</f>
        <v>21.25</v>
      </c>
      <c r="D18" s="17">
        <f t="shared" ref="D18:G18" si="2">ROUND(D16/D17, 2)</f>
        <v>48.23</v>
      </c>
      <c r="E18" s="17">
        <f t="shared" si="2"/>
        <v>55.41</v>
      </c>
      <c r="F18" s="17">
        <f t="shared" si="2"/>
        <v>63.24</v>
      </c>
      <c r="G18" s="17">
        <f t="shared" si="2"/>
        <v>108.07</v>
      </c>
      <c r="I18" s="24"/>
      <c r="J18" s="25"/>
      <c r="K18" s="25"/>
      <c r="L18" s="26"/>
    </row>
    <row r="19" spans="2:12" ht="15.75" thickTop="1" x14ac:dyDescent="0.25"/>
    <row r="20" spans="2:12" ht="18.75" x14ac:dyDescent="0.25">
      <c r="B20" s="14" t="s">
        <v>151</v>
      </c>
      <c r="C20" s="14"/>
      <c r="D20" s="14"/>
      <c r="E20" s="14"/>
      <c r="F20" s="14"/>
      <c r="G20" s="14"/>
    </row>
    <row r="21" spans="2:12" ht="18.75" x14ac:dyDescent="0.25">
      <c r="B21" s="15" t="str">
        <f>'Income Statement'!B28</f>
        <v>Equity Share Dividend</v>
      </c>
      <c r="C21" s="16">
        <f>'Income Statement'!C28</f>
        <v>2106.86</v>
      </c>
      <c r="D21" s="16">
        <f>'Income Statement'!D28</f>
        <v>1734.15</v>
      </c>
      <c r="E21" s="16">
        <f>'Income Statement'!E28</f>
        <v>3285.64</v>
      </c>
      <c r="F21" s="16">
        <f>'Income Statement'!F28</f>
        <v>2238.58</v>
      </c>
      <c r="G21" s="16">
        <f>'Income Statement'!G28</f>
        <v>0</v>
      </c>
    </row>
    <row r="22" spans="2:12" ht="18.75" x14ac:dyDescent="0.25">
      <c r="B22" s="15" t="str">
        <f>'Income Statement'!B35</f>
        <v>Total Shares Outstanding(cr)</v>
      </c>
      <c r="C22" s="16">
        <f>'Income Statement'!C35</f>
        <v>1961.7138095238095</v>
      </c>
      <c r="D22" s="16">
        <f>'Income Statement'!D35</f>
        <v>2059.1651724137937</v>
      </c>
      <c r="E22" s="16">
        <f>'Income Statement'!E35</f>
        <v>2836.4171428571417</v>
      </c>
      <c r="F22" s="16">
        <f>'Income Statement'!F35</f>
        <v>3144.8164285714292</v>
      </c>
      <c r="G22" s="16">
        <f>'Income Statement'!G35</f>
        <v>2483.7567857142863</v>
      </c>
    </row>
    <row r="23" spans="2:12" ht="18.75" x14ac:dyDescent="0.25">
      <c r="B23" s="15" t="s">
        <v>148</v>
      </c>
      <c r="C23" s="16">
        <f>ROUND(C21/C22, 2)</f>
        <v>1.07</v>
      </c>
      <c r="D23" s="16">
        <f t="shared" ref="D23:G23" si="3">ROUND(D21/D22, 2)</f>
        <v>0.84</v>
      </c>
      <c r="E23" s="16">
        <f t="shared" si="3"/>
        <v>1.1599999999999999</v>
      </c>
      <c r="F23" s="16">
        <f t="shared" si="3"/>
        <v>0.71</v>
      </c>
      <c r="G23" s="16">
        <f t="shared" si="3"/>
        <v>0</v>
      </c>
    </row>
    <row r="24" spans="2:12" ht="19.5" thickBot="1" x14ac:dyDescent="0.3">
      <c r="B24" s="15" t="str">
        <f>'Income Statement'!B27</f>
        <v>Reported Net Profit(PAT)</v>
      </c>
      <c r="C24" s="16">
        <f>'Income Statement'!C27</f>
        <v>41195.99</v>
      </c>
      <c r="D24" s="16">
        <f>'Income Statement'!D27</f>
        <v>59715.790000000015</v>
      </c>
      <c r="E24" s="16">
        <f>'Income Statement'!E27</f>
        <v>59564.75999999998</v>
      </c>
      <c r="F24" s="16">
        <f>'Income Statement'!F27</f>
        <v>44027.430000000008</v>
      </c>
      <c r="G24" s="16">
        <f>'Income Statement'!G27</f>
        <v>69545.190000000017</v>
      </c>
    </row>
    <row r="25" spans="2:12" ht="19.5" thickTop="1" x14ac:dyDescent="0.25">
      <c r="B25" s="15" t="str">
        <f>'Income Statement'!B35</f>
        <v>Total Shares Outstanding(cr)</v>
      </c>
      <c r="C25" s="16">
        <f>'Income Statement'!C35</f>
        <v>1961.7138095238095</v>
      </c>
      <c r="D25" s="16">
        <f>'Income Statement'!D35</f>
        <v>2059.1651724137937</v>
      </c>
      <c r="E25" s="16">
        <f>'Income Statement'!E35</f>
        <v>2836.4171428571417</v>
      </c>
      <c r="F25" s="16">
        <f>'Income Statement'!F35</f>
        <v>3144.8164285714292</v>
      </c>
      <c r="G25" s="16">
        <f>'Income Statement'!G35</f>
        <v>2483.7567857142863</v>
      </c>
      <c r="I25" s="18"/>
      <c r="J25" s="19"/>
      <c r="K25" s="19"/>
      <c r="L25" s="20"/>
    </row>
    <row r="26" spans="2:12" ht="18.75" x14ac:dyDescent="0.25">
      <c r="B26" s="15" t="s">
        <v>146</v>
      </c>
      <c r="C26" s="16">
        <f>C24/C25</f>
        <v>21</v>
      </c>
      <c r="D26" s="16">
        <f t="shared" ref="D26:G26" si="4">D24/D25</f>
        <v>29</v>
      </c>
      <c r="E26" s="16">
        <f t="shared" si="4"/>
        <v>21</v>
      </c>
      <c r="F26" s="16">
        <f t="shared" si="4"/>
        <v>14</v>
      </c>
      <c r="G26" s="16">
        <f t="shared" si="4"/>
        <v>28</v>
      </c>
      <c r="I26" s="21"/>
      <c r="J26" s="22"/>
      <c r="K26" s="22"/>
      <c r="L26" s="23"/>
    </row>
    <row r="27" spans="2:12" ht="19.5" thickBot="1" x14ac:dyDescent="0.3">
      <c r="B27" s="17" t="s">
        <v>152</v>
      </c>
      <c r="C27" s="17">
        <f>ROUND(C23/C26, 2)</f>
        <v>0.05</v>
      </c>
      <c r="D27" s="17">
        <f t="shared" ref="D27:G27" si="5">ROUND(D23/D26, 2)</f>
        <v>0.03</v>
      </c>
      <c r="E27" s="17">
        <f t="shared" si="5"/>
        <v>0.06</v>
      </c>
      <c r="F27" s="17">
        <f t="shared" si="5"/>
        <v>0.05</v>
      </c>
      <c r="G27" s="17">
        <f t="shared" si="5"/>
        <v>0</v>
      </c>
      <c r="I27" s="24"/>
      <c r="J27" s="25"/>
      <c r="K27" s="25"/>
      <c r="L27" s="26"/>
    </row>
    <row r="28" spans="2:12" ht="15.75" thickTop="1" x14ac:dyDescent="0.25"/>
    <row r="29" spans="2:12" ht="18.75" x14ac:dyDescent="0.25">
      <c r="B29" s="14" t="s">
        <v>153</v>
      </c>
      <c r="C29" s="14"/>
      <c r="D29" s="14"/>
      <c r="E29" s="14"/>
      <c r="F29" s="14"/>
      <c r="G29" s="14"/>
    </row>
    <row r="30" spans="2:12" ht="19.5" thickBot="1" x14ac:dyDescent="0.3">
      <c r="B30" s="15" t="str">
        <f>'Income Statement'!B28</f>
        <v>Equity Share Dividend</v>
      </c>
      <c r="C30" s="16">
        <f>'Income Statement'!C28</f>
        <v>2106.86</v>
      </c>
      <c r="D30" s="16">
        <f>'Income Statement'!D28</f>
        <v>1734.15</v>
      </c>
      <c r="E30" s="16">
        <f>'Income Statement'!E28</f>
        <v>3285.64</v>
      </c>
      <c r="F30" s="16">
        <f>'Income Statement'!F28</f>
        <v>2238.58</v>
      </c>
      <c r="G30" s="16">
        <f>'Income Statement'!G28</f>
        <v>0</v>
      </c>
    </row>
    <row r="31" spans="2:12" ht="19.5" thickTop="1" x14ac:dyDescent="0.25">
      <c r="B31" s="15" t="str">
        <f>'Income Statement'!B35</f>
        <v>Total Shares Outstanding(cr)</v>
      </c>
      <c r="C31" s="16">
        <f>'Income Statement'!C35</f>
        <v>1961.7138095238095</v>
      </c>
      <c r="D31" s="16">
        <f>'Income Statement'!D35</f>
        <v>2059.1651724137937</v>
      </c>
      <c r="E31" s="16">
        <f>'Income Statement'!E35</f>
        <v>2836.4171428571417</v>
      </c>
      <c r="F31" s="16">
        <f>'Income Statement'!F35</f>
        <v>3144.8164285714292</v>
      </c>
      <c r="G31" s="16">
        <f>'Income Statement'!G35</f>
        <v>2483.7567857142863</v>
      </c>
      <c r="I31" s="18"/>
      <c r="J31" s="19"/>
      <c r="K31" s="19"/>
      <c r="L31" s="20"/>
    </row>
    <row r="32" spans="2:12" ht="18.75" x14ac:dyDescent="0.25">
      <c r="B32" s="15" t="s">
        <v>154</v>
      </c>
      <c r="C32" s="16">
        <f>ROUND(C30/C31, 2)</f>
        <v>1.07</v>
      </c>
      <c r="D32" s="16">
        <f t="shared" ref="D32:G32" si="6">ROUND(D30/D31, 2)</f>
        <v>0.84</v>
      </c>
      <c r="E32" s="16">
        <f t="shared" si="6"/>
        <v>1.1599999999999999</v>
      </c>
      <c r="F32" s="16">
        <f t="shared" si="6"/>
        <v>0.71</v>
      </c>
      <c r="G32" s="16">
        <f t="shared" si="6"/>
        <v>0</v>
      </c>
      <c r="I32" s="21"/>
      <c r="J32" s="22"/>
      <c r="K32" s="22"/>
      <c r="L32" s="23"/>
    </row>
    <row r="33" spans="2:12" ht="19.5" thickBot="1" x14ac:dyDescent="0.3">
      <c r="B33" s="17" t="s">
        <v>155</v>
      </c>
      <c r="C33" s="27">
        <f>1-C32</f>
        <v>-7.0000000000000062E-2</v>
      </c>
      <c r="D33" s="27">
        <f t="shared" ref="D33:G33" si="7">1-D32</f>
        <v>0.16000000000000003</v>
      </c>
      <c r="E33" s="27">
        <f t="shared" si="7"/>
        <v>-0.15999999999999992</v>
      </c>
      <c r="F33" s="27">
        <f t="shared" si="7"/>
        <v>0.29000000000000004</v>
      </c>
      <c r="G33" s="27">
        <f t="shared" si="7"/>
        <v>1</v>
      </c>
      <c r="I33" s="24"/>
      <c r="J33" s="25"/>
      <c r="K33" s="25"/>
      <c r="L33" s="26"/>
    </row>
    <row r="34" spans="2:12" ht="15.75" thickTop="1" x14ac:dyDescent="0.25"/>
    <row r="35" spans="2:12" ht="19.5" thickBot="1" x14ac:dyDescent="0.3">
      <c r="B35" s="14" t="s">
        <v>156</v>
      </c>
      <c r="C35" s="14"/>
      <c r="D35" s="14"/>
      <c r="E35" s="14"/>
      <c r="F35" s="14"/>
      <c r="G35" s="14"/>
    </row>
    <row r="36" spans="2:12" ht="19.5" thickTop="1" x14ac:dyDescent="0.25">
      <c r="B36" s="15" t="str">
        <f>'Income Statement'!B5</f>
        <v>Gross Sales</v>
      </c>
      <c r="C36" s="16">
        <f>'Income Statement'!C5</f>
        <v>54556.09</v>
      </c>
      <c r="D36" s="16">
        <f>'Income Statement'!D5</f>
        <v>75912.02</v>
      </c>
      <c r="E36" s="16">
        <f>'Income Statement'!E5</f>
        <v>72423.56</v>
      </c>
      <c r="F36" s="16">
        <f>'Income Statement'!F5</f>
        <v>57208.12</v>
      </c>
      <c r="G36" s="16">
        <f>'Income Statement'!G5</f>
        <v>92873.82</v>
      </c>
      <c r="I36" s="18"/>
      <c r="J36" s="19"/>
      <c r="K36" s="19"/>
      <c r="L36" s="20"/>
    </row>
    <row r="37" spans="2:12" ht="18.75" x14ac:dyDescent="0.25">
      <c r="B37" s="15" t="str">
        <f>'Income Statement'!B11</f>
        <v>Cost Of Materials Consumed</v>
      </c>
      <c r="C37" s="16">
        <f>'Income Statement'!C11</f>
        <v>4140.8999999999996</v>
      </c>
      <c r="D37" s="16">
        <f>'Income Statement'!D11</f>
        <v>5079.83</v>
      </c>
      <c r="E37" s="16">
        <f>'Income Statement'!E11</f>
        <v>4411.97</v>
      </c>
      <c r="F37" s="16">
        <f>'Income Statement'!F11</f>
        <v>3905.88</v>
      </c>
      <c r="G37" s="16">
        <f>'Income Statement'!G11</f>
        <v>11103.28</v>
      </c>
      <c r="I37" s="21"/>
      <c r="J37" s="22"/>
      <c r="K37" s="22"/>
      <c r="L37" s="23"/>
    </row>
    <row r="38" spans="2:12" ht="19.5" thickBot="1" x14ac:dyDescent="0.3">
      <c r="B38" s="17" t="s">
        <v>157</v>
      </c>
      <c r="C38" s="28">
        <f>ROUND(C36- C37, 2)</f>
        <v>50415.19</v>
      </c>
      <c r="D38" s="28">
        <f t="shared" ref="D38:G38" si="8">ROUND(D36- D37, 2)</f>
        <v>70832.19</v>
      </c>
      <c r="E38" s="28">
        <f t="shared" si="8"/>
        <v>68011.59</v>
      </c>
      <c r="F38" s="28">
        <f t="shared" si="8"/>
        <v>53302.239999999998</v>
      </c>
      <c r="G38" s="28">
        <f t="shared" si="8"/>
        <v>81770.539999999994</v>
      </c>
      <c r="I38" s="24"/>
      <c r="J38" s="25"/>
      <c r="K38" s="25"/>
      <c r="L38" s="26"/>
    </row>
    <row r="39" spans="2:12" ht="15.75" thickTop="1" x14ac:dyDescent="0.25"/>
    <row r="40" spans="2:12" ht="19.5" thickBot="1" x14ac:dyDescent="0.3">
      <c r="B40" s="14" t="s">
        <v>158</v>
      </c>
      <c r="C40" s="14"/>
      <c r="D40" s="14"/>
      <c r="E40" s="14"/>
      <c r="F40" s="14"/>
      <c r="G40" s="14"/>
    </row>
    <row r="41" spans="2:12" ht="19.5" thickTop="1" x14ac:dyDescent="0.25">
      <c r="B41" s="15" t="str">
        <f>'Income Statement'!B5</f>
        <v>Gross Sales</v>
      </c>
      <c r="C41" s="16">
        <f>'Income Statement'!C5</f>
        <v>54556.09</v>
      </c>
      <c r="D41" s="16">
        <f>'Income Statement'!D5</f>
        <v>75912.02</v>
      </c>
      <c r="E41" s="16">
        <f>'Income Statement'!E5</f>
        <v>72423.56</v>
      </c>
      <c r="F41" s="16">
        <f>'Income Statement'!F5</f>
        <v>57208.12</v>
      </c>
      <c r="G41" s="16">
        <f>'Income Statement'!G5</f>
        <v>92873.82</v>
      </c>
      <c r="I41" s="18"/>
      <c r="J41" s="19"/>
      <c r="K41" s="19"/>
      <c r="L41" s="20"/>
    </row>
    <row r="42" spans="2:12" ht="18.75" x14ac:dyDescent="0.25">
      <c r="B42" s="15" t="str">
        <f>'Income Statement'!B15</f>
        <v>Total Expenditure</v>
      </c>
      <c r="C42" s="16">
        <f>'Income Statement'!C15</f>
        <v>10030.209999999999</v>
      </c>
      <c r="D42" s="16">
        <f>'Income Statement'!D15</f>
        <v>12261.96</v>
      </c>
      <c r="E42" s="16">
        <f>'Income Statement'!E15</f>
        <v>11033.27</v>
      </c>
      <c r="F42" s="16">
        <f>'Income Statement'!F15</f>
        <v>10308.82</v>
      </c>
      <c r="G42" s="16">
        <f>'Income Statement'!G15</f>
        <v>18614.349999999999</v>
      </c>
      <c r="I42" s="21"/>
      <c r="J42" s="22"/>
      <c r="K42" s="22"/>
      <c r="L42" s="23"/>
    </row>
    <row r="43" spans="2:12" ht="19.5" thickBot="1" x14ac:dyDescent="0.3">
      <c r="B43" s="17" t="s">
        <v>159</v>
      </c>
      <c r="C43" s="28">
        <f>ROUND(C41- C42, 2)</f>
        <v>44525.88</v>
      </c>
      <c r="D43" s="28">
        <f t="shared" ref="D43:G43" si="9">ROUND(D41- D42, 2)</f>
        <v>63650.06</v>
      </c>
      <c r="E43" s="28">
        <f t="shared" si="9"/>
        <v>61390.29</v>
      </c>
      <c r="F43" s="28">
        <f t="shared" si="9"/>
        <v>46899.3</v>
      </c>
      <c r="G43" s="28">
        <f t="shared" si="9"/>
        <v>74259.47</v>
      </c>
      <c r="I43" s="24"/>
      <c r="J43" s="25"/>
      <c r="K43" s="25"/>
      <c r="L43" s="26"/>
    </row>
    <row r="44" spans="2:12" ht="15.75" thickTop="1" x14ac:dyDescent="0.25"/>
    <row r="45" spans="2:12" ht="19.5" thickBot="1" x14ac:dyDescent="0.3">
      <c r="B45" s="14" t="s">
        <v>160</v>
      </c>
      <c r="C45" s="14"/>
      <c r="D45" s="14"/>
      <c r="E45" s="14"/>
      <c r="F45" s="14"/>
      <c r="G45" s="14"/>
    </row>
    <row r="46" spans="2:12" ht="19.5" thickTop="1" x14ac:dyDescent="0.25">
      <c r="B46" s="15" t="str">
        <f>'Income Statement'!B27</f>
        <v>Reported Net Profit(PAT)</v>
      </c>
      <c r="C46" s="16">
        <f>'Income Statement'!C27</f>
        <v>41195.99</v>
      </c>
      <c r="D46" s="16">
        <f>'Income Statement'!D27</f>
        <v>59715.790000000015</v>
      </c>
      <c r="E46" s="16">
        <f>'Income Statement'!E27</f>
        <v>59564.75999999998</v>
      </c>
      <c r="F46" s="16">
        <f>'Income Statement'!F27</f>
        <v>44027.430000000008</v>
      </c>
      <c r="G46" s="16">
        <f>'Income Statement'!G27</f>
        <v>69545.190000000017</v>
      </c>
      <c r="I46" s="18"/>
      <c r="J46" s="19"/>
      <c r="K46" s="19"/>
      <c r="L46" s="20"/>
    </row>
    <row r="47" spans="2:12" ht="18.75" x14ac:dyDescent="0.25">
      <c r="B47" s="15" t="str">
        <f>'Balance Sheet'!B40</f>
        <v>Total Assets</v>
      </c>
      <c r="C47" s="16">
        <f>'Balance Sheet'!C40</f>
        <v>61334.14</v>
      </c>
      <c r="D47" s="16">
        <f>'Balance Sheet'!D40</f>
        <v>121707.05000000002</v>
      </c>
      <c r="E47" s="16">
        <f>'Balance Sheet'!E40</f>
        <v>182808.5</v>
      </c>
      <c r="F47" s="16">
        <f>'Balance Sheet'!F40</f>
        <v>227084.28999999998</v>
      </c>
      <c r="G47" s="16">
        <f>'Balance Sheet'!G40</f>
        <v>300871.98000000004</v>
      </c>
      <c r="I47" s="21"/>
      <c r="J47" s="22"/>
      <c r="K47" s="22"/>
      <c r="L47" s="23"/>
    </row>
    <row r="48" spans="2:12" ht="19.5" thickBot="1" x14ac:dyDescent="0.3">
      <c r="B48" s="17" t="s">
        <v>161</v>
      </c>
      <c r="C48" s="27">
        <f>ROUND(C46/ C47, 2)</f>
        <v>0.67</v>
      </c>
      <c r="D48" s="27">
        <f t="shared" ref="D48:G48" si="10">ROUND(D46/ D47, 2)</f>
        <v>0.49</v>
      </c>
      <c r="E48" s="27">
        <f t="shared" si="10"/>
        <v>0.33</v>
      </c>
      <c r="F48" s="27">
        <f t="shared" si="10"/>
        <v>0.19</v>
      </c>
      <c r="G48" s="27">
        <f t="shared" si="10"/>
        <v>0.23</v>
      </c>
      <c r="I48" s="24"/>
      <c r="J48" s="25"/>
      <c r="K48" s="25"/>
      <c r="L48" s="26"/>
    </row>
    <row r="49" spans="2:12" ht="15.75" thickTop="1" x14ac:dyDescent="0.25"/>
    <row r="50" spans="2:12" ht="18.75" x14ac:dyDescent="0.25">
      <c r="B50" s="14" t="s">
        <v>162</v>
      </c>
      <c r="C50" s="14"/>
      <c r="D50" s="14"/>
      <c r="E50" s="14"/>
      <c r="F50" s="14"/>
      <c r="G50" s="14"/>
    </row>
    <row r="51" spans="2:12" ht="19.5" thickBot="1" x14ac:dyDescent="0.3">
      <c r="B51" s="15" t="str">
        <f>'Income Statement'!B19</f>
        <v>PBIT</v>
      </c>
      <c r="C51" s="16">
        <f>'Income Statement'!C19</f>
        <v>43613.75</v>
      </c>
      <c r="D51" s="16">
        <f>'Income Statement'!D19</f>
        <v>63153.410000000011</v>
      </c>
      <c r="E51" s="16">
        <f>'Income Statement'!E19</f>
        <v>60787.999999999985</v>
      </c>
      <c r="F51" s="16">
        <f>'Income Statement'!F19</f>
        <v>45789.33</v>
      </c>
      <c r="G51" s="16">
        <f>'Income Statement'!G19</f>
        <v>72907.560000000012</v>
      </c>
    </row>
    <row r="52" spans="2:12" ht="19.5" thickTop="1" x14ac:dyDescent="0.25">
      <c r="B52" s="15" t="str">
        <f>'Balance Sheet'!B13</f>
        <v>Total Debt</v>
      </c>
      <c r="C52" s="16">
        <f>'Balance Sheet'!C13</f>
        <v>7135.41</v>
      </c>
      <c r="D52" s="16">
        <f>'Balance Sheet'!D13</f>
        <v>8580.61</v>
      </c>
      <c r="E52" s="16">
        <f>'Balance Sheet'!E13</f>
        <v>10376.790000000001</v>
      </c>
      <c r="F52" s="16">
        <f>'Balance Sheet'!F13</f>
        <v>10848.76</v>
      </c>
      <c r="G52" s="16">
        <f>'Balance Sheet'!G13</f>
        <v>12029.49</v>
      </c>
      <c r="I52" s="18"/>
      <c r="J52" s="19"/>
      <c r="K52" s="19"/>
      <c r="L52" s="20"/>
    </row>
    <row r="53" spans="2:12" ht="18.75" x14ac:dyDescent="0.25">
      <c r="B53" s="15" t="str">
        <f>'Balance Sheet'!B9</f>
        <v>Net Worth</v>
      </c>
      <c r="C53" s="16">
        <f>'Balance Sheet'!C9</f>
        <v>41678.57</v>
      </c>
      <c r="D53" s="16">
        <f>'Balance Sheet'!D9</f>
        <v>99303.750000000029</v>
      </c>
      <c r="E53" s="16">
        <f>'Balance Sheet'!E9</f>
        <v>157162.57</v>
      </c>
      <c r="F53" s="16">
        <f>'Balance Sheet'!F9</f>
        <v>198881.67</v>
      </c>
      <c r="G53" s="16">
        <f>'Balance Sheet'!G9</f>
        <v>268426.86000000004</v>
      </c>
      <c r="I53" s="21"/>
      <c r="J53" s="22"/>
      <c r="K53" s="22"/>
      <c r="L53" s="23"/>
    </row>
    <row r="54" spans="2:12" ht="19.5" thickBot="1" x14ac:dyDescent="0.3">
      <c r="B54" s="17" t="s">
        <v>163</v>
      </c>
      <c r="C54" s="27">
        <f>ROUND(C51/ (C52+ C52), 2)</f>
        <v>3.06</v>
      </c>
      <c r="D54" s="27">
        <f t="shared" ref="D54:G54" si="11">ROUND(D51/ (D52+ D52), 2)</f>
        <v>3.68</v>
      </c>
      <c r="E54" s="27">
        <f t="shared" si="11"/>
        <v>2.93</v>
      </c>
      <c r="F54" s="27">
        <f t="shared" si="11"/>
        <v>2.11</v>
      </c>
      <c r="G54" s="27">
        <f t="shared" si="11"/>
        <v>3.03</v>
      </c>
      <c r="I54" s="24"/>
      <c r="J54" s="25"/>
      <c r="K54" s="25"/>
      <c r="L54" s="26"/>
    </row>
    <row r="55" spans="2:12" ht="15.75" thickTop="1" x14ac:dyDescent="0.25"/>
    <row r="56" spans="2:12" ht="19.5" thickBot="1" x14ac:dyDescent="0.3">
      <c r="B56" s="14" t="s">
        <v>164</v>
      </c>
      <c r="C56" s="14"/>
      <c r="D56" s="14"/>
      <c r="E56" s="14"/>
      <c r="F56" s="14"/>
      <c r="G56" s="14"/>
    </row>
    <row r="57" spans="2:12" ht="19.5" thickTop="1" x14ac:dyDescent="0.25">
      <c r="B57" s="15" t="str">
        <f>'Income Statement'!B27</f>
        <v>Reported Net Profit(PAT)</v>
      </c>
      <c r="C57" s="16">
        <f>'Income Statement'!C27</f>
        <v>41195.99</v>
      </c>
      <c r="D57" s="16">
        <f>'Income Statement'!D27</f>
        <v>59715.790000000015</v>
      </c>
      <c r="E57" s="16">
        <f>'Income Statement'!E27</f>
        <v>59564.75999999998</v>
      </c>
      <c r="F57" s="16">
        <f>'Income Statement'!F27</f>
        <v>44027.430000000008</v>
      </c>
      <c r="G57" s="16">
        <f>'Income Statement'!G27</f>
        <v>69545.190000000017</v>
      </c>
      <c r="I57" s="18"/>
      <c r="J57" s="19"/>
      <c r="K57" s="19"/>
      <c r="L57" s="20"/>
    </row>
    <row r="58" spans="2:12" ht="18.75" x14ac:dyDescent="0.25">
      <c r="B58" s="15" t="str">
        <f>'Balance Sheet'!B9</f>
        <v>Net Worth</v>
      </c>
      <c r="C58" s="16">
        <f>'Balance Sheet'!C9</f>
        <v>41678.57</v>
      </c>
      <c r="D58" s="16">
        <f>'Balance Sheet'!D9</f>
        <v>99303.750000000029</v>
      </c>
      <c r="E58" s="16">
        <f>'Balance Sheet'!E9</f>
        <v>157162.57</v>
      </c>
      <c r="F58" s="16">
        <f>'Balance Sheet'!F9</f>
        <v>198881.67</v>
      </c>
      <c r="G58" s="16">
        <f>'Balance Sheet'!G9</f>
        <v>268426.86000000004</v>
      </c>
      <c r="I58" s="21"/>
      <c r="J58" s="22"/>
      <c r="K58" s="22"/>
      <c r="L58" s="23"/>
    </row>
    <row r="59" spans="2:12" ht="19.5" thickBot="1" x14ac:dyDescent="0.3">
      <c r="B59" s="17" t="s">
        <v>165</v>
      </c>
      <c r="C59" s="27">
        <f>ROUND(C57/ (C58+ C58), 2)</f>
        <v>0.49</v>
      </c>
      <c r="D59" s="27">
        <f t="shared" ref="D59:G59" si="12">ROUND(D57/ (D58+ D58), 2)</f>
        <v>0.3</v>
      </c>
      <c r="E59" s="27">
        <f t="shared" si="12"/>
        <v>0.19</v>
      </c>
      <c r="F59" s="27">
        <f t="shared" si="12"/>
        <v>0.11</v>
      </c>
      <c r="G59" s="27">
        <f t="shared" si="12"/>
        <v>0.13</v>
      </c>
      <c r="I59" s="24"/>
      <c r="J59" s="25"/>
      <c r="K59" s="25"/>
      <c r="L59" s="26"/>
    </row>
    <row r="60" spans="2:12" ht="15.75" thickTop="1" x14ac:dyDescent="0.25"/>
    <row r="61" spans="2:12" ht="19.5" thickBot="1" x14ac:dyDescent="0.3">
      <c r="B61" s="14" t="s">
        <v>166</v>
      </c>
      <c r="C61" s="14"/>
      <c r="D61" s="14"/>
      <c r="E61" s="14"/>
      <c r="F61" s="14"/>
      <c r="G61" s="14"/>
    </row>
    <row r="62" spans="2:12" ht="19.5" thickTop="1" x14ac:dyDescent="0.25">
      <c r="B62" s="15" t="str">
        <f>'Balance Sheet'!B13</f>
        <v>Total Debt</v>
      </c>
      <c r="C62" s="16">
        <f>'Balance Sheet'!C13</f>
        <v>7135.41</v>
      </c>
      <c r="D62" s="16">
        <f>'Balance Sheet'!D13</f>
        <v>8580.61</v>
      </c>
      <c r="E62" s="16">
        <f>'Balance Sheet'!E13</f>
        <v>10376.790000000001</v>
      </c>
      <c r="F62" s="16">
        <f>'Balance Sheet'!F13</f>
        <v>10848.76</v>
      </c>
      <c r="G62" s="16">
        <f>'Balance Sheet'!G13</f>
        <v>12029.49</v>
      </c>
      <c r="I62" s="18"/>
      <c r="J62" s="19"/>
      <c r="K62" s="19"/>
      <c r="L62" s="20"/>
    </row>
    <row r="63" spans="2:12" ht="18.75" x14ac:dyDescent="0.25">
      <c r="B63" s="15" t="str">
        <f>'Balance Sheet'!B9</f>
        <v>Net Worth</v>
      </c>
      <c r="C63" s="16">
        <f>'Balance Sheet'!C9</f>
        <v>41678.57</v>
      </c>
      <c r="D63" s="16">
        <f>'Balance Sheet'!D9</f>
        <v>99303.750000000029</v>
      </c>
      <c r="E63" s="16">
        <f>'Balance Sheet'!E9</f>
        <v>157162.57</v>
      </c>
      <c r="F63" s="16">
        <f>'Balance Sheet'!F9</f>
        <v>198881.67</v>
      </c>
      <c r="G63" s="16">
        <f>'Balance Sheet'!G9</f>
        <v>268426.86000000004</v>
      </c>
      <c r="I63" s="21"/>
      <c r="J63" s="22"/>
      <c r="K63" s="22"/>
      <c r="L63" s="23"/>
    </row>
    <row r="64" spans="2:12" ht="19.5" thickBot="1" x14ac:dyDescent="0.3">
      <c r="B64" s="17" t="s">
        <v>167</v>
      </c>
      <c r="C64" s="17">
        <f>ROUND(C62/ C63, 2)</f>
        <v>0.17</v>
      </c>
      <c r="D64" s="17">
        <f t="shared" ref="D64:G64" si="13">ROUND(D62/ D63, 2)</f>
        <v>0.09</v>
      </c>
      <c r="E64" s="17">
        <f t="shared" si="13"/>
        <v>7.0000000000000007E-2</v>
      </c>
      <c r="F64" s="17">
        <f t="shared" si="13"/>
        <v>0.05</v>
      </c>
      <c r="G64" s="17">
        <f t="shared" si="13"/>
        <v>0.04</v>
      </c>
      <c r="I64" s="24"/>
      <c r="J64" s="25"/>
      <c r="K64" s="25"/>
      <c r="L64" s="26"/>
    </row>
    <row r="65" spans="2:12" ht="15.75" thickTop="1" x14ac:dyDescent="0.25"/>
    <row r="66" spans="2:12" ht="19.5" thickBot="1" x14ac:dyDescent="0.3">
      <c r="B66" s="14" t="s">
        <v>168</v>
      </c>
      <c r="C66" s="14"/>
      <c r="D66" s="14"/>
      <c r="E66" s="14"/>
      <c r="F66" s="14"/>
      <c r="G66" s="14"/>
    </row>
    <row r="67" spans="2:12" ht="19.5" thickTop="1" x14ac:dyDescent="0.25">
      <c r="B67" s="15" t="str">
        <f>'Balance Sheet'!B39</f>
        <v>Total Current Assets</v>
      </c>
      <c r="C67" s="16">
        <f>'Balance Sheet'!C39</f>
        <v>14463.59</v>
      </c>
      <c r="D67" s="16">
        <f>'Balance Sheet'!D39</f>
        <v>70310.190000000017</v>
      </c>
      <c r="E67" s="16">
        <f>'Balance Sheet'!E39</f>
        <v>126766.42</v>
      </c>
      <c r="F67" s="16">
        <f>'Balance Sheet'!F39</f>
        <v>165387.16999999998</v>
      </c>
      <c r="G67" s="16">
        <f>'Balance Sheet'!G39</f>
        <v>232742.16000000003</v>
      </c>
      <c r="I67" s="18"/>
      <c r="J67" s="19"/>
      <c r="K67" s="19"/>
      <c r="L67" s="20"/>
    </row>
    <row r="68" spans="2:12" ht="18.75" x14ac:dyDescent="0.25">
      <c r="B68" s="15" t="str">
        <f>'Balance Sheet'!B19</f>
        <v>Total Current Liabilities</v>
      </c>
      <c r="C68" s="16">
        <f>'Balance Sheet'!C19</f>
        <v>12481.24</v>
      </c>
      <c r="D68" s="16">
        <f>'Balance Sheet'!D19</f>
        <v>13776.74</v>
      </c>
      <c r="E68" s="16">
        <f>'Balance Sheet'!E19</f>
        <v>15182.099999999999</v>
      </c>
      <c r="F68" s="16">
        <f>'Balance Sheet'!F19</f>
        <v>17256.37</v>
      </c>
      <c r="G68" s="16">
        <f>'Balance Sheet'!G19</f>
        <v>20224.45</v>
      </c>
      <c r="I68" s="21"/>
      <c r="J68" s="22"/>
      <c r="K68" s="22"/>
      <c r="L68" s="23"/>
    </row>
    <row r="69" spans="2:12" ht="19.5" thickBot="1" x14ac:dyDescent="0.3">
      <c r="B69" s="17" t="s">
        <v>169</v>
      </c>
      <c r="C69" s="17">
        <f>ROUND(C67/ C68, 2)</f>
        <v>1.1599999999999999</v>
      </c>
      <c r="D69" s="17">
        <f t="shared" ref="D69:G69" si="14">ROUND(D67/ D68, 2)</f>
        <v>5.0999999999999996</v>
      </c>
      <c r="E69" s="17">
        <f t="shared" si="14"/>
        <v>8.35</v>
      </c>
      <c r="F69" s="17">
        <f t="shared" si="14"/>
        <v>9.58</v>
      </c>
      <c r="G69" s="17">
        <f t="shared" si="14"/>
        <v>11.51</v>
      </c>
      <c r="I69" s="24"/>
      <c r="J69" s="25"/>
      <c r="K69" s="25"/>
      <c r="L69" s="26"/>
    </row>
    <row r="70" spans="2:12" ht="15.75" thickTop="1" x14ac:dyDescent="0.25"/>
    <row r="71" spans="2:12" ht="18.75" x14ac:dyDescent="0.25">
      <c r="B71" s="14" t="s">
        <v>170</v>
      </c>
      <c r="C71" s="14"/>
      <c r="D71" s="14"/>
      <c r="E71" s="14"/>
      <c r="F71" s="14"/>
      <c r="G71" s="14"/>
    </row>
    <row r="72" spans="2:12" ht="19.5" thickBot="1" x14ac:dyDescent="0.3">
      <c r="B72" s="15" t="str">
        <f>'Balance Sheet'!B39</f>
        <v>Total Current Assets</v>
      </c>
      <c r="C72" s="16">
        <f>'Balance Sheet'!C39</f>
        <v>14463.59</v>
      </c>
      <c r="D72" s="16">
        <f>'Balance Sheet'!D39</f>
        <v>70310.190000000017</v>
      </c>
      <c r="E72" s="16">
        <f>'Balance Sheet'!E39</f>
        <v>126766.42</v>
      </c>
      <c r="F72" s="16">
        <f>'Balance Sheet'!F39</f>
        <v>165387.16999999998</v>
      </c>
      <c r="G72" s="16">
        <f>'Balance Sheet'!G39</f>
        <v>232742.16000000003</v>
      </c>
    </row>
    <row r="73" spans="2:12" ht="19.5" thickTop="1" x14ac:dyDescent="0.25">
      <c r="B73" s="15" t="str">
        <f>'Balance Sheet'!B36</f>
        <v>Inventories</v>
      </c>
      <c r="C73" s="16">
        <f>'Balance Sheet'!C36</f>
        <v>1932.51</v>
      </c>
      <c r="D73" s="16">
        <f>'Balance Sheet'!D36</f>
        <v>2502.64</v>
      </c>
      <c r="E73" s="16">
        <f>'Balance Sheet'!E36</f>
        <v>3183.01</v>
      </c>
      <c r="F73" s="16">
        <f>'Balance Sheet'!F36</f>
        <v>2989.73</v>
      </c>
      <c r="G73" s="16">
        <f>'Balance Sheet'!G36</f>
        <v>3576.61</v>
      </c>
      <c r="I73" s="18"/>
      <c r="J73" s="19"/>
      <c r="K73" s="19"/>
      <c r="L73" s="20"/>
    </row>
    <row r="74" spans="2:12" ht="18.75" x14ac:dyDescent="0.25">
      <c r="B74" s="15" t="str">
        <f>'Balance Sheet'!B19</f>
        <v>Total Current Liabilities</v>
      </c>
      <c r="C74" s="16">
        <f>'Balance Sheet'!C19</f>
        <v>12481.24</v>
      </c>
      <c r="D74" s="16">
        <f>'Balance Sheet'!D19</f>
        <v>13776.74</v>
      </c>
      <c r="E74" s="16">
        <f>'Balance Sheet'!E19</f>
        <v>15182.099999999999</v>
      </c>
      <c r="F74" s="16">
        <f>'Balance Sheet'!F19</f>
        <v>17256.37</v>
      </c>
      <c r="G74" s="16">
        <f>'Balance Sheet'!G19</f>
        <v>20224.45</v>
      </c>
      <c r="I74" s="21"/>
      <c r="J74" s="22"/>
      <c r="K74" s="22"/>
      <c r="L74" s="23"/>
    </row>
    <row r="75" spans="2:12" ht="19.5" thickBot="1" x14ac:dyDescent="0.3">
      <c r="B75" s="17" t="s">
        <v>171</v>
      </c>
      <c r="C75" s="17">
        <f>ROUND((C72-C73)/ C74, 2)</f>
        <v>1</v>
      </c>
      <c r="D75" s="17">
        <f t="shared" ref="D75:G75" si="15">ROUND((D72-D73)/ D74, 2)</f>
        <v>4.92</v>
      </c>
      <c r="E75" s="17">
        <f t="shared" si="15"/>
        <v>8.14</v>
      </c>
      <c r="F75" s="17">
        <f t="shared" si="15"/>
        <v>9.41</v>
      </c>
      <c r="G75" s="17">
        <f t="shared" si="15"/>
        <v>11.33</v>
      </c>
      <c r="I75" s="24"/>
      <c r="J75" s="25"/>
      <c r="K75" s="25"/>
      <c r="L75" s="26"/>
    </row>
    <row r="76" spans="2:12" ht="15.75" thickTop="1" x14ac:dyDescent="0.25"/>
    <row r="77" spans="2:12" ht="19.5" thickBot="1" x14ac:dyDescent="0.3">
      <c r="B77" s="14" t="s">
        <v>172</v>
      </c>
      <c r="C77" s="14"/>
      <c r="D77" s="14"/>
      <c r="E77" s="14"/>
      <c r="F77" s="14"/>
      <c r="G77" s="14"/>
    </row>
    <row r="78" spans="2:12" ht="19.5" thickTop="1" x14ac:dyDescent="0.25">
      <c r="B78" s="15" t="str">
        <f>'Income Statement'!B19</f>
        <v>PBIT</v>
      </c>
      <c r="C78" s="16">
        <f>'Income Statement'!C19</f>
        <v>43613.75</v>
      </c>
      <c r="D78" s="16">
        <f>'Income Statement'!D19</f>
        <v>63153.410000000011</v>
      </c>
      <c r="E78" s="16">
        <f>'Income Statement'!E19</f>
        <v>60787.999999999985</v>
      </c>
      <c r="F78" s="16">
        <f>'Income Statement'!F19</f>
        <v>45789.33</v>
      </c>
      <c r="G78" s="16">
        <f>'Income Statement'!G19</f>
        <v>72907.560000000012</v>
      </c>
      <c r="I78" s="18"/>
      <c r="J78" s="19"/>
      <c r="K78" s="19"/>
      <c r="L78" s="20"/>
    </row>
    <row r="79" spans="2:12" ht="18.75" x14ac:dyDescent="0.25">
      <c r="B79" s="15" t="str">
        <f>'Income Statement'!B20</f>
        <v>Finance Costs</v>
      </c>
      <c r="C79" s="16">
        <f>'Income Statement'!C20</f>
        <v>294.91000000000003</v>
      </c>
      <c r="D79" s="16">
        <f>'Income Statement'!D20</f>
        <v>159.19999999999999</v>
      </c>
      <c r="E79" s="16">
        <f>'Income Statement'!E20</f>
        <v>308.94</v>
      </c>
      <c r="F79" s="16">
        <f>'Income Statement'!F20</f>
        <v>179.27</v>
      </c>
      <c r="G79" s="16">
        <f>'Income Statement'!G20</f>
        <v>202.48</v>
      </c>
      <c r="I79" s="21"/>
      <c r="J79" s="22"/>
      <c r="K79" s="22"/>
      <c r="L79" s="23"/>
    </row>
    <row r="80" spans="2:12" ht="19.5" thickBot="1" x14ac:dyDescent="0.3">
      <c r="B80" s="17" t="s">
        <v>173</v>
      </c>
      <c r="C80" s="17">
        <f>ROUND(C78/C79, 2)</f>
        <v>147.88999999999999</v>
      </c>
      <c r="D80" s="17">
        <f t="shared" ref="D80:G80" si="16">ROUND(D78/D79, 2)</f>
        <v>396.69</v>
      </c>
      <c r="E80" s="17">
        <f t="shared" si="16"/>
        <v>196.76</v>
      </c>
      <c r="F80" s="17">
        <f t="shared" si="16"/>
        <v>255.42</v>
      </c>
      <c r="G80" s="17">
        <f t="shared" si="16"/>
        <v>360.07</v>
      </c>
      <c r="I80" s="24"/>
      <c r="J80" s="25"/>
      <c r="K80" s="25"/>
      <c r="L80" s="26"/>
    </row>
    <row r="81" spans="2:12" ht="15.75" thickTop="1" x14ac:dyDescent="0.25"/>
    <row r="82" spans="2:12" ht="19.5" thickBot="1" x14ac:dyDescent="0.3">
      <c r="B82" s="14" t="s">
        <v>174</v>
      </c>
      <c r="C82" s="14"/>
      <c r="D82" s="14"/>
      <c r="E82" s="14"/>
      <c r="F82" s="14"/>
      <c r="G82" s="14"/>
    </row>
    <row r="83" spans="2:12" ht="19.5" thickTop="1" x14ac:dyDescent="0.25">
      <c r="B83" s="15" t="str">
        <f>'Income Statement'!B11</f>
        <v>Cost Of Materials Consumed</v>
      </c>
      <c r="C83" s="16">
        <f>'Income Statement'!C11</f>
        <v>4140.8999999999996</v>
      </c>
      <c r="D83" s="16">
        <f>'Income Statement'!D11</f>
        <v>5079.83</v>
      </c>
      <c r="E83" s="16">
        <f>'Income Statement'!E11</f>
        <v>4411.97</v>
      </c>
      <c r="F83" s="16">
        <f>'Income Statement'!F11</f>
        <v>3905.88</v>
      </c>
      <c r="G83" s="16">
        <f>'Income Statement'!G11</f>
        <v>11103.28</v>
      </c>
      <c r="I83" s="18"/>
      <c r="J83" s="19"/>
      <c r="K83" s="19"/>
      <c r="L83" s="20"/>
    </row>
    <row r="84" spans="2:12" ht="18.75" x14ac:dyDescent="0.25">
      <c r="B84" s="15" t="str">
        <f>'Income Statement'!B7</f>
        <v>Net Sales</v>
      </c>
      <c r="C84" s="16">
        <f>'Income Statement'!C7</f>
        <v>54358.13</v>
      </c>
      <c r="D84" s="16">
        <f>'Income Statement'!D7</f>
        <v>75867.740000000005</v>
      </c>
      <c r="E84" s="16">
        <f>'Income Statement'!E7</f>
        <v>72364.28</v>
      </c>
      <c r="F84" s="16">
        <f>'Income Statement'!F7</f>
        <v>57151.770000000004</v>
      </c>
      <c r="G84" s="16">
        <f>'Income Statement'!G7</f>
        <v>92769.83</v>
      </c>
      <c r="I84" s="21"/>
      <c r="J84" s="22"/>
      <c r="K84" s="22"/>
      <c r="L84" s="23"/>
    </row>
    <row r="85" spans="2:12" ht="19.5" thickBot="1" x14ac:dyDescent="0.3">
      <c r="B85" s="17" t="s">
        <v>175</v>
      </c>
      <c r="C85" s="17">
        <f>ROUND(C83/C84, 2)</f>
        <v>0.08</v>
      </c>
      <c r="D85" s="17">
        <f t="shared" ref="D85:G85" si="17">ROUND(D83/D84, 2)</f>
        <v>7.0000000000000007E-2</v>
      </c>
      <c r="E85" s="17">
        <f t="shared" si="17"/>
        <v>0.06</v>
      </c>
      <c r="F85" s="17">
        <f t="shared" si="17"/>
        <v>7.0000000000000007E-2</v>
      </c>
      <c r="G85" s="17">
        <f t="shared" si="17"/>
        <v>0.12</v>
      </c>
      <c r="I85" s="24"/>
      <c r="J85" s="25"/>
      <c r="K85" s="25"/>
      <c r="L85" s="26"/>
    </row>
    <row r="86" spans="2:12" ht="15.75" thickTop="1" x14ac:dyDescent="0.25"/>
    <row r="87" spans="2:12" ht="19.5" thickBot="1" x14ac:dyDescent="0.3">
      <c r="B87" s="14" t="s">
        <v>176</v>
      </c>
      <c r="C87" s="14"/>
      <c r="D87" s="14"/>
      <c r="E87" s="14"/>
      <c r="F87" s="14"/>
      <c r="G87" s="14"/>
    </row>
    <row r="88" spans="2:12" ht="19.5" thickTop="1" x14ac:dyDescent="0.25">
      <c r="B88" s="15" t="str">
        <f>'Balance Sheet'!B38</f>
        <v>Cash And Cash Equivalents</v>
      </c>
      <c r="C88" s="16">
        <f>'Balance Sheet'!C38</f>
        <v>2858.54</v>
      </c>
      <c r="D88" s="16">
        <f>'Balance Sheet'!D38</f>
        <v>56391.390000000014</v>
      </c>
      <c r="E88" s="16">
        <f>'Balance Sheet'!E38</f>
        <v>112891.29</v>
      </c>
      <c r="F88" s="16">
        <f>'Balance Sheet'!F38</f>
        <v>153644.59</v>
      </c>
      <c r="G88" s="16">
        <f>'Balance Sheet'!G38</f>
        <v>215457.40000000002</v>
      </c>
      <c r="I88" s="18"/>
      <c r="J88" s="19"/>
      <c r="K88" s="19"/>
      <c r="L88" s="20"/>
    </row>
    <row r="89" spans="2:12" ht="18.75" x14ac:dyDescent="0.25">
      <c r="B89" s="15" t="str">
        <f>'Income Statement'!B11</f>
        <v>Cost Of Materials Consumed</v>
      </c>
      <c r="C89" s="16">
        <f>'Income Statement'!C11</f>
        <v>4140.8999999999996</v>
      </c>
      <c r="D89" s="16">
        <f>'Income Statement'!D11</f>
        <v>5079.83</v>
      </c>
      <c r="E89" s="16">
        <f>'Income Statement'!E11</f>
        <v>4411.97</v>
      </c>
      <c r="F89" s="16">
        <f>'Income Statement'!F11</f>
        <v>3905.88</v>
      </c>
      <c r="G89" s="16">
        <f>'Income Statement'!G11</f>
        <v>11103.28</v>
      </c>
      <c r="I89" s="21"/>
      <c r="J89" s="22"/>
      <c r="K89" s="22"/>
      <c r="L89" s="23"/>
    </row>
    <row r="90" spans="2:12" ht="19.5" thickBot="1" x14ac:dyDescent="0.3">
      <c r="B90" s="17" t="s">
        <v>177</v>
      </c>
      <c r="C90" s="17">
        <f>ROUND(C88/C89*365, 2)</f>
        <v>251.97</v>
      </c>
      <c r="D90" s="17">
        <f t="shared" ref="D90:G90" si="18">ROUND(D88/D89*365, 2)</f>
        <v>4051.88</v>
      </c>
      <c r="E90" s="17">
        <f t="shared" si="18"/>
        <v>9339.44</v>
      </c>
      <c r="F90" s="17">
        <f t="shared" si="18"/>
        <v>14357.91</v>
      </c>
      <c r="G90" s="17">
        <f t="shared" si="18"/>
        <v>7082.77</v>
      </c>
      <c r="I90" s="24"/>
      <c r="J90" s="25"/>
      <c r="K90" s="25"/>
      <c r="L90" s="26"/>
    </row>
    <row r="91" spans="2:12" ht="15.75" thickTop="1" x14ac:dyDescent="0.25"/>
    <row r="92" spans="2:12" ht="19.5" thickBot="1" x14ac:dyDescent="0.3">
      <c r="B92" s="14" t="s">
        <v>178</v>
      </c>
      <c r="C92" s="14"/>
      <c r="D92" s="14"/>
      <c r="E92" s="14"/>
      <c r="F92" s="14"/>
      <c r="G92" s="14"/>
    </row>
    <row r="93" spans="2:12" ht="19.5" thickTop="1" x14ac:dyDescent="0.25">
      <c r="B93" s="15" t="str">
        <f>'Balance Sheet'!B38</f>
        <v>Cash And Cash Equivalents</v>
      </c>
      <c r="C93" s="16">
        <f>'Balance Sheet'!C38</f>
        <v>2858.54</v>
      </c>
      <c r="D93" s="16">
        <f>'Balance Sheet'!D38</f>
        <v>56391.390000000014</v>
      </c>
      <c r="E93" s="16">
        <f>'Balance Sheet'!E38</f>
        <v>112891.29</v>
      </c>
      <c r="F93" s="16">
        <f>'Balance Sheet'!F38</f>
        <v>153644.59</v>
      </c>
      <c r="G93" s="16">
        <f>'Balance Sheet'!G38</f>
        <v>215457.40000000002</v>
      </c>
      <c r="I93" s="18"/>
      <c r="J93" s="19"/>
      <c r="K93" s="19"/>
      <c r="L93" s="20"/>
    </row>
    <row r="94" spans="2:12" ht="18.75" x14ac:dyDescent="0.25">
      <c r="B94" s="15" t="s">
        <v>179</v>
      </c>
      <c r="C94" s="16">
        <v>365</v>
      </c>
      <c r="D94" s="16">
        <v>365</v>
      </c>
      <c r="E94" s="16">
        <v>365</v>
      </c>
      <c r="F94" s="16">
        <v>365</v>
      </c>
      <c r="G94" s="16">
        <v>365</v>
      </c>
      <c r="I94" s="21"/>
      <c r="J94" s="22"/>
      <c r="K94" s="22"/>
      <c r="L94" s="23"/>
    </row>
    <row r="95" spans="2:12" ht="19.5" thickBot="1" x14ac:dyDescent="0.3">
      <c r="B95" s="17" t="s">
        <v>180</v>
      </c>
      <c r="C95" s="17">
        <f>ROUND(C93/C94*365, 2)</f>
        <v>2858.54</v>
      </c>
      <c r="D95" s="17">
        <f t="shared" ref="D95:G95" si="19">ROUND(D93/D94*365, 2)</f>
        <v>56391.39</v>
      </c>
      <c r="E95" s="17">
        <f t="shared" si="19"/>
        <v>112891.29</v>
      </c>
      <c r="F95" s="17">
        <f t="shared" si="19"/>
        <v>153644.59</v>
      </c>
      <c r="G95" s="17">
        <f t="shared" si="19"/>
        <v>215457.4</v>
      </c>
      <c r="I95" s="24"/>
      <c r="J95" s="25"/>
      <c r="K95" s="25"/>
      <c r="L95" s="26"/>
    </row>
    <row r="96" spans="2:12" ht="15.75" thickTop="1" x14ac:dyDescent="0.25"/>
    <row r="97" spans="2:12" ht="19.5" thickBot="1" x14ac:dyDescent="0.3">
      <c r="B97" s="14" t="s">
        <v>181</v>
      </c>
      <c r="C97" s="14"/>
      <c r="D97" s="14"/>
      <c r="E97" s="14"/>
      <c r="F97" s="14"/>
      <c r="G97" s="14"/>
    </row>
    <row r="98" spans="2:12" ht="19.5" thickTop="1" x14ac:dyDescent="0.25">
      <c r="B98" s="15" t="str">
        <f>'Income Statement'!B5</f>
        <v>Gross Sales</v>
      </c>
      <c r="C98" s="16">
        <f>'Income Statement'!C5</f>
        <v>54556.09</v>
      </c>
      <c r="D98" s="16">
        <f>'Income Statement'!D5</f>
        <v>75912.02</v>
      </c>
      <c r="E98" s="16">
        <f>'Income Statement'!E5</f>
        <v>72423.56</v>
      </c>
      <c r="F98" s="16">
        <f>'Income Statement'!F5</f>
        <v>57208.12</v>
      </c>
      <c r="G98" s="16">
        <f>'Income Statement'!G5</f>
        <v>92873.82</v>
      </c>
      <c r="I98" s="18"/>
      <c r="J98" s="19"/>
      <c r="K98" s="19"/>
      <c r="L98" s="20"/>
    </row>
    <row r="99" spans="2:12" ht="18.75" x14ac:dyDescent="0.25">
      <c r="B99" s="15" t="str">
        <f>'Balance Sheet'!B40</f>
        <v>Total Assets</v>
      </c>
      <c r="C99" s="16">
        <f>'Balance Sheet'!C40</f>
        <v>61334.14</v>
      </c>
      <c r="D99" s="16">
        <f>'Balance Sheet'!D40</f>
        <v>121707.05000000002</v>
      </c>
      <c r="E99" s="16">
        <f>'Balance Sheet'!E40</f>
        <v>182808.5</v>
      </c>
      <c r="F99" s="16">
        <f>'Balance Sheet'!F40</f>
        <v>227084.28999999998</v>
      </c>
      <c r="G99" s="16">
        <f>'Balance Sheet'!G40</f>
        <v>300871.98000000004</v>
      </c>
      <c r="I99" s="21"/>
      <c r="J99" s="22"/>
      <c r="K99" s="22"/>
      <c r="L99" s="23"/>
    </row>
    <row r="100" spans="2:12" ht="19.5" thickBot="1" x14ac:dyDescent="0.3">
      <c r="B100" s="17" t="s">
        <v>182</v>
      </c>
      <c r="C100" s="17">
        <f>ROUND(C98/C99, 2)</f>
        <v>0.89</v>
      </c>
      <c r="D100" s="17">
        <f t="shared" ref="D100:G100" si="20">ROUND(D98/D99, 2)</f>
        <v>0.62</v>
      </c>
      <c r="E100" s="17">
        <f t="shared" si="20"/>
        <v>0.4</v>
      </c>
      <c r="F100" s="17">
        <f t="shared" si="20"/>
        <v>0.25</v>
      </c>
      <c r="G100" s="17">
        <f t="shared" si="20"/>
        <v>0.31</v>
      </c>
      <c r="I100" s="24"/>
      <c r="J100" s="25"/>
      <c r="K100" s="25"/>
      <c r="L100" s="26"/>
    </row>
    <row r="101" spans="2:12" ht="15.75" thickTop="1" x14ac:dyDescent="0.25"/>
    <row r="102" spans="2:12" ht="19.5" thickBot="1" x14ac:dyDescent="0.3">
      <c r="B102" s="14" t="s">
        <v>183</v>
      </c>
      <c r="C102" s="14"/>
      <c r="D102" s="14"/>
      <c r="E102" s="14"/>
      <c r="F102" s="14"/>
      <c r="G102" s="14"/>
    </row>
    <row r="103" spans="2:12" ht="19.5" thickTop="1" x14ac:dyDescent="0.25">
      <c r="B103" s="15" t="str">
        <f>'Income Statement'!B5</f>
        <v>Gross Sales</v>
      </c>
      <c r="C103" s="16">
        <f>'Income Statement'!C5</f>
        <v>54556.09</v>
      </c>
      <c r="D103" s="16">
        <f>'Income Statement'!D5</f>
        <v>75912.02</v>
      </c>
      <c r="E103" s="16">
        <f>'Income Statement'!E5</f>
        <v>72423.56</v>
      </c>
      <c r="F103" s="16">
        <f>'Income Statement'!F5</f>
        <v>57208.12</v>
      </c>
      <c r="G103" s="16">
        <f>'Income Statement'!G5</f>
        <v>92873.82</v>
      </c>
      <c r="I103" s="18"/>
      <c r="J103" s="19"/>
      <c r="K103" s="19"/>
      <c r="L103" s="20"/>
    </row>
    <row r="104" spans="2:12" ht="18.75" x14ac:dyDescent="0.25">
      <c r="B104" s="15" t="str">
        <f>'Balance Sheet'!B36</f>
        <v>Inventories</v>
      </c>
      <c r="C104" s="16">
        <f>'Balance Sheet'!C36</f>
        <v>1932.51</v>
      </c>
      <c r="D104" s="16">
        <f>'Balance Sheet'!D36</f>
        <v>2502.64</v>
      </c>
      <c r="E104" s="16">
        <f>'Balance Sheet'!E36</f>
        <v>3183.01</v>
      </c>
      <c r="F104" s="16">
        <f>'Balance Sheet'!F36</f>
        <v>2989.73</v>
      </c>
      <c r="G104" s="16">
        <f>'Balance Sheet'!G36</f>
        <v>3576.61</v>
      </c>
      <c r="I104" s="21"/>
      <c r="J104" s="22"/>
      <c r="K104" s="22"/>
      <c r="L104" s="23"/>
    </row>
    <row r="105" spans="2:12" ht="19.5" thickBot="1" x14ac:dyDescent="0.3">
      <c r="B105" s="17" t="s">
        <v>184</v>
      </c>
      <c r="C105" s="17">
        <f>ROUND(C103/C104, 2)</f>
        <v>28.23</v>
      </c>
      <c r="D105" s="17">
        <f t="shared" ref="D105:G105" si="21">ROUND(D103/D104, 2)</f>
        <v>30.33</v>
      </c>
      <c r="E105" s="17">
        <f t="shared" si="21"/>
        <v>22.75</v>
      </c>
      <c r="F105" s="17">
        <f t="shared" si="21"/>
        <v>19.13</v>
      </c>
      <c r="G105" s="17">
        <f t="shared" si="21"/>
        <v>25.97</v>
      </c>
      <c r="I105" s="24"/>
      <c r="J105" s="25"/>
      <c r="K105" s="25"/>
      <c r="L105" s="26"/>
    </row>
    <row r="106" spans="2:12" ht="15.75" thickTop="1" x14ac:dyDescent="0.25"/>
    <row r="107" spans="2:12" ht="19.5" thickBot="1" x14ac:dyDescent="0.3">
      <c r="B107" s="14" t="s">
        <v>185</v>
      </c>
      <c r="C107" s="14"/>
      <c r="D107" s="14"/>
      <c r="E107" s="14"/>
      <c r="F107" s="14"/>
      <c r="G107" s="14"/>
    </row>
    <row r="108" spans="2:12" ht="19.5" thickTop="1" x14ac:dyDescent="0.25">
      <c r="B108" s="15" t="str">
        <f>'Income Statement'!B5</f>
        <v>Gross Sales</v>
      </c>
      <c r="C108" s="16">
        <f>'Income Statement'!C5</f>
        <v>54556.09</v>
      </c>
      <c r="D108" s="16">
        <f>'Income Statement'!D5</f>
        <v>75912.02</v>
      </c>
      <c r="E108" s="16">
        <f>'Income Statement'!E5</f>
        <v>72423.56</v>
      </c>
      <c r="F108" s="16">
        <f>'Income Statement'!F5</f>
        <v>57208.12</v>
      </c>
      <c r="G108" s="16">
        <f>'Income Statement'!G5</f>
        <v>92873.82</v>
      </c>
      <c r="I108" s="18"/>
      <c r="J108" s="19"/>
      <c r="K108" s="19"/>
      <c r="L108" s="20"/>
    </row>
    <row r="109" spans="2:12" ht="18.75" x14ac:dyDescent="0.25">
      <c r="B109" s="15" t="str">
        <f>'Balance Sheet'!B37</f>
        <v>Trade Receivables</v>
      </c>
      <c r="C109" s="16">
        <f>'Balance Sheet'!C37</f>
        <v>3429.56</v>
      </c>
      <c r="D109" s="16">
        <f>'Balance Sheet'!D37</f>
        <v>4363.3900000000003</v>
      </c>
      <c r="E109" s="16">
        <f>'Balance Sheet'!E37</f>
        <v>4818.3100000000004</v>
      </c>
      <c r="F109" s="16">
        <f>'Balance Sheet'!F37</f>
        <v>3501.5</v>
      </c>
      <c r="G109" s="16">
        <f>'Balance Sheet'!G37</f>
        <v>7446.53</v>
      </c>
      <c r="I109" s="21"/>
      <c r="J109" s="22"/>
      <c r="K109" s="22"/>
      <c r="L109" s="23"/>
    </row>
    <row r="110" spans="2:12" ht="19.5" thickBot="1" x14ac:dyDescent="0.3">
      <c r="B110" s="17" t="s">
        <v>186</v>
      </c>
      <c r="C110" s="17">
        <f>ROUND(C108/C109, 2)</f>
        <v>15.91</v>
      </c>
      <c r="D110" s="17">
        <f t="shared" ref="D110:G110" si="22">ROUND(D108/D109, 2)</f>
        <v>17.399999999999999</v>
      </c>
      <c r="E110" s="17">
        <f t="shared" si="22"/>
        <v>15.03</v>
      </c>
      <c r="F110" s="17">
        <f t="shared" si="22"/>
        <v>16.34</v>
      </c>
      <c r="G110" s="17">
        <f t="shared" si="22"/>
        <v>12.47</v>
      </c>
      <c r="I110" s="24"/>
      <c r="J110" s="25"/>
      <c r="K110" s="25"/>
      <c r="L110" s="26"/>
    </row>
    <row r="111" spans="2:12" ht="15.75" thickTop="1" x14ac:dyDescent="0.25"/>
    <row r="112" spans="2:12" ht="19.5" thickBot="1" x14ac:dyDescent="0.3">
      <c r="B112" s="14" t="s">
        <v>187</v>
      </c>
      <c r="C112" s="14"/>
      <c r="D112" s="14"/>
      <c r="E112" s="14"/>
      <c r="F112" s="14"/>
      <c r="G112" s="14"/>
    </row>
    <row r="113" spans="2:12" ht="19.5" thickTop="1" x14ac:dyDescent="0.25">
      <c r="B113" s="15" t="str">
        <f>'Income Statement'!B5</f>
        <v>Gross Sales</v>
      </c>
      <c r="C113" s="16">
        <f>'Income Statement'!C5</f>
        <v>54556.09</v>
      </c>
      <c r="D113" s="16">
        <f>'Income Statement'!D5</f>
        <v>75912.02</v>
      </c>
      <c r="E113" s="16">
        <f>'Income Statement'!E5</f>
        <v>72423.56</v>
      </c>
      <c r="F113" s="16">
        <f>'Income Statement'!F5</f>
        <v>57208.12</v>
      </c>
      <c r="G113" s="16">
        <f>'Income Statement'!G5</f>
        <v>92873.82</v>
      </c>
      <c r="I113" s="18"/>
      <c r="J113" s="19"/>
      <c r="K113" s="19"/>
      <c r="L113" s="20"/>
    </row>
    <row r="114" spans="2:12" ht="18.75" x14ac:dyDescent="0.25">
      <c r="B114" s="15" t="str">
        <f>'Balance Sheet'!B23</f>
        <v>Tangible Assets</v>
      </c>
      <c r="C114" s="16">
        <f>'Balance Sheet'!C23</f>
        <v>29416.84</v>
      </c>
      <c r="D114" s="16">
        <f>'Balance Sheet'!D23</f>
        <v>31287.77</v>
      </c>
      <c r="E114" s="16">
        <f>'Balance Sheet'!E23</f>
        <v>36349.26</v>
      </c>
      <c r="F114" s="16">
        <f>'Balance Sheet'!F23</f>
        <v>38859.660000000003</v>
      </c>
      <c r="G114" s="16">
        <f>'Balance Sheet'!G23</f>
        <v>60062.46</v>
      </c>
      <c r="I114" s="21"/>
      <c r="J114" s="22"/>
      <c r="K114" s="22"/>
      <c r="L114" s="23"/>
    </row>
    <row r="115" spans="2:12" ht="19.5" thickBot="1" x14ac:dyDescent="0.3">
      <c r="B115" s="17" t="s">
        <v>188</v>
      </c>
      <c r="C115" s="17">
        <f>ROUND(C113/C114, 2)</f>
        <v>1.85</v>
      </c>
      <c r="D115" s="17">
        <f t="shared" ref="D115:G115" si="23">ROUND(D113/D114, 2)</f>
        <v>2.4300000000000002</v>
      </c>
      <c r="E115" s="17">
        <f t="shared" si="23"/>
        <v>1.99</v>
      </c>
      <c r="F115" s="17">
        <f t="shared" si="23"/>
        <v>1.47</v>
      </c>
      <c r="G115" s="17">
        <f t="shared" si="23"/>
        <v>1.55</v>
      </c>
      <c r="I115" s="24"/>
      <c r="J115" s="25"/>
      <c r="K115" s="25"/>
      <c r="L115" s="26"/>
    </row>
    <row r="116" spans="2:12" ht="15.75" thickTop="1" x14ac:dyDescent="0.25"/>
    <row r="117" spans="2:12" ht="19.5" thickBot="1" x14ac:dyDescent="0.3">
      <c r="B117" s="14" t="s">
        <v>189</v>
      </c>
      <c r="C117" s="14"/>
      <c r="D117" s="14"/>
      <c r="E117" s="14"/>
      <c r="F117" s="14"/>
      <c r="G117" s="14"/>
    </row>
    <row r="118" spans="2:12" ht="19.5" thickTop="1" x14ac:dyDescent="0.25">
      <c r="B118" s="15" t="str">
        <f>'Income Statement'!B11</f>
        <v>Cost Of Materials Consumed</v>
      </c>
      <c r="C118" s="16">
        <f>'Income Statement'!C11</f>
        <v>4140.8999999999996</v>
      </c>
      <c r="D118" s="16">
        <f>'Income Statement'!D11</f>
        <v>5079.83</v>
      </c>
      <c r="E118" s="16">
        <f>'Income Statement'!E11</f>
        <v>4411.97</v>
      </c>
      <c r="F118" s="16">
        <f>'Income Statement'!F11</f>
        <v>3905.88</v>
      </c>
      <c r="G118" s="16">
        <f>'Income Statement'!G11</f>
        <v>11103.28</v>
      </c>
      <c r="I118" s="18"/>
      <c r="J118" s="19"/>
      <c r="K118" s="19"/>
      <c r="L118" s="20"/>
    </row>
    <row r="119" spans="2:12" ht="18.75" x14ac:dyDescent="0.25">
      <c r="B119" s="15" t="str">
        <f>'Balance Sheet'!B19</f>
        <v>Total Current Liabilities</v>
      </c>
      <c r="C119" s="16">
        <f>'Balance Sheet'!C19</f>
        <v>12481.24</v>
      </c>
      <c r="D119" s="16">
        <f>'Balance Sheet'!D19</f>
        <v>13776.74</v>
      </c>
      <c r="E119" s="16">
        <f>'Balance Sheet'!E19</f>
        <v>15182.099999999999</v>
      </c>
      <c r="F119" s="16">
        <f>'Balance Sheet'!F19</f>
        <v>17256.37</v>
      </c>
      <c r="G119" s="16">
        <f>'Balance Sheet'!G19</f>
        <v>20224.45</v>
      </c>
      <c r="I119" s="21"/>
      <c r="J119" s="22"/>
      <c r="K119" s="22"/>
      <c r="L119" s="23"/>
    </row>
    <row r="120" spans="2:12" ht="19.5" thickBot="1" x14ac:dyDescent="0.3">
      <c r="B120" s="17" t="s">
        <v>190</v>
      </c>
      <c r="C120" s="17">
        <f>ROUND(C118/C119, 2)</f>
        <v>0.33</v>
      </c>
      <c r="D120" s="17">
        <f t="shared" ref="D120:G120" si="24">ROUND(D118/D119, 2)</f>
        <v>0.37</v>
      </c>
      <c r="E120" s="17">
        <f t="shared" si="24"/>
        <v>0.28999999999999998</v>
      </c>
      <c r="F120" s="17">
        <f t="shared" si="24"/>
        <v>0.23</v>
      </c>
      <c r="G120" s="17">
        <f t="shared" si="24"/>
        <v>0.55000000000000004</v>
      </c>
      <c r="I120" s="24"/>
      <c r="J120" s="25"/>
      <c r="K120" s="25"/>
      <c r="L120" s="26"/>
    </row>
    <row r="121" spans="2:12" ht="15.75" thickTop="1" x14ac:dyDescent="0.25"/>
    <row r="122" spans="2:12" ht="19.5" thickBot="1" x14ac:dyDescent="0.3">
      <c r="B122" s="14" t="s">
        <v>191</v>
      </c>
      <c r="C122" s="14"/>
      <c r="D122" s="14"/>
      <c r="E122" s="14"/>
      <c r="F122" s="14"/>
      <c r="G122" s="14"/>
    </row>
    <row r="123" spans="2:12" ht="19.5" thickTop="1" x14ac:dyDescent="0.25">
      <c r="B123" s="15" t="str">
        <f>'Income Statement'!B5</f>
        <v>Gross Sales</v>
      </c>
      <c r="C123" s="16">
        <f>'Income Statement'!C5</f>
        <v>54556.09</v>
      </c>
      <c r="D123" s="16">
        <f>'Income Statement'!D5</f>
        <v>75912.02</v>
      </c>
      <c r="E123" s="16">
        <f>'Income Statement'!E5</f>
        <v>72423.56</v>
      </c>
      <c r="F123" s="16">
        <f>'Income Statement'!F5</f>
        <v>57208.12</v>
      </c>
      <c r="G123" s="16">
        <f>'Income Statement'!G5</f>
        <v>92873.82</v>
      </c>
      <c r="I123" s="18"/>
      <c r="J123" s="19"/>
      <c r="K123" s="19"/>
      <c r="L123" s="20"/>
    </row>
    <row r="124" spans="2:12" ht="18.75" x14ac:dyDescent="0.25">
      <c r="B124" s="15" t="str">
        <f>'Balance Sheet'!B36</f>
        <v>Inventories</v>
      </c>
      <c r="C124" s="16">
        <f>'Balance Sheet'!C36</f>
        <v>1932.51</v>
      </c>
      <c r="D124" s="16">
        <f>'Balance Sheet'!D36</f>
        <v>2502.64</v>
      </c>
      <c r="E124" s="16">
        <f>'Balance Sheet'!E36</f>
        <v>3183.01</v>
      </c>
      <c r="F124" s="16">
        <f>'Balance Sheet'!F36</f>
        <v>2989.73</v>
      </c>
      <c r="G124" s="16">
        <f>'Balance Sheet'!G36</f>
        <v>3576.61</v>
      </c>
      <c r="I124" s="21"/>
      <c r="J124" s="22"/>
      <c r="K124" s="22"/>
      <c r="L124" s="23"/>
    </row>
    <row r="125" spans="2:12" ht="19.5" thickBot="1" x14ac:dyDescent="0.3">
      <c r="B125" s="17" t="s">
        <v>192</v>
      </c>
      <c r="C125" s="17">
        <f>ROUND(365/C123*C124, 2)</f>
        <v>12.93</v>
      </c>
      <c r="D125" s="17">
        <f t="shared" ref="D125:G125" si="25">ROUND(365/D123*D124, 2)</f>
        <v>12.03</v>
      </c>
      <c r="E125" s="17">
        <f t="shared" si="25"/>
        <v>16.04</v>
      </c>
      <c r="F125" s="17">
        <f t="shared" si="25"/>
        <v>19.079999999999998</v>
      </c>
      <c r="G125" s="17">
        <f t="shared" si="25"/>
        <v>14.06</v>
      </c>
      <c r="I125" s="24"/>
      <c r="J125" s="25"/>
      <c r="K125" s="25"/>
      <c r="L125" s="26"/>
    </row>
    <row r="126" spans="2:12" ht="15.75" thickTop="1" x14ac:dyDescent="0.25"/>
    <row r="127" spans="2:12" ht="19.5" thickBot="1" x14ac:dyDescent="0.3">
      <c r="B127" s="14" t="s">
        <v>193</v>
      </c>
      <c r="C127" s="14"/>
      <c r="D127" s="14"/>
      <c r="E127" s="14"/>
      <c r="F127" s="14"/>
      <c r="G127" s="14"/>
    </row>
    <row r="128" spans="2:12" ht="19.5" thickTop="1" x14ac:dyDescent="0.25">
      <c r="B128" s="15" t="str">
        <f>'Income Statement'!B11</f>
        <v>Cost Of Materials Consumed</v>
      </c>
      <c r="C128" s="16">
        <f>'Income Statement'!C11</f>
        <v>4140.8999999999996</v>
      </c>
      <c r="D128" s="16">
        <f>'Income Statement'!D11</f>
        <v>5079.83</v>
      </c>
      <c r="E128" s="16">
        <f>'Income Statement'!E11</f>
        <v>4411.97</v>
      </c>
      <c r="F128" s="16">
        <f>'Income Statement'!F11</f>
        <v>3905.88</v>
      </c>
      <c r="G128" s="16">
        <f>'Income Statement'!G11</f>
        <v>11103.28</v>
      </c>
      <c r="I128" s="18"/>
      <c r="J128" s="19"/>
      <c r="K128" s="19"/>
      <c r="L128" s="20"/>
    </row>
    <row r="129" spans="2:12" ht="18.75" x14ac:dyDescent="0.25">
      <c r="B129" s="15" t="str">
        <f>'Balance Sheet'!B19</f>
        <v>Total Current Liabilities</v>
      </c>
      <c r="C129" s="16">
        <f>'Balance Sheet'!C19</f>
        <v>12481.24</v>
      </c>
      <c r="D129" s="16">
        <f>'Balance Sheet'!D19</f>
        <v>13776.74</v>
      </c>
      <c r="E129" s="16">
        <f>'Balance Sheet'!E19</f>
        <v>15182.099999999999</v>
      </c>
      <c r="F129" s="16">
        <f>'Balance Sheet'!F19</f>
        <v>17256.37</v>
      </c>
      <c r="G129" s="16">
        <f>'Balance Sheet'!G19</f>
        <v>20224.45</v>
      </c>
      <c r="I129" s="21"/>
      <c r="J129" s="22"/>
      <c r="K129" s="22"/>
      <c r="L129" s="23"/>
    </row>
    <row r="130" spans="2:12" ht="19.5" thickBot="1" x14ac:dyDescent="0.3">
      <c r="B130" s="17" t="s">
        <v>194</v>
      </c>
      <c r="C130" s="17">
        <f>ROUND(365/C128*C129, 2)</f>
        <v>1100.1600000000001</v>
      </c>
      <c r="D130" s="17">
        <f t="shared" ref="D130:G130" si="26">ROUND(365/D128*D129, 2)</f>
        <v>989.9</v>
      </c>
      <c r="E130" s="17">
        <f t="shared" si="26"/>
        <v>1256.01</v>
      </c>
      <c r="F130" s="17">
        <f t="shared" si="26"/>
        <v>1612.59</v>
      </c>
      <c r="G130" s="17">
        <f t="shared" si="26"/>
        <v>664.84</v>
      </c>
      <c r="I130" s="24"/>
      <c r="J130" s="25"/>
      <c r="K130" s="25"/>
      <c r="L130" s="26"/>
    </row>
    <row r="131" spans="2:12" ht="15.75" thickTop="1" x14ac:dyDescent="0.25"/>
    <row r="132" spans="2:12" ht="19.5" thickBot="1" x14ac:dyDescent="0.3">
      <c r="B132" s="14" t="s">
        <v>195</v>
      </c>
      <c r="C132" s="14"/>
      <c r="D132" s="14"/>
      <c r="E132" s="14"/>
      <c r="F132" s="14"/>
      <c r="G132" s="14"/>
    </row>
    <row r="133" spans="2:12" ht="19.5" thickTop="1" x14ac:dyDescent="0.25">
      <c r="B133" s="15" t="str">
        <f>'Income Statement'!B5</f>
        <v>Gross Sales</v>
      </c>
      <c r="C133" s="16">
        <f>'Income Statement'!C5</f>
        <v>54556.09</v>
      </c>
      <c r="D133" s="16">
        <f>'Income Statement'!D5</f>
        <v>75912.02</v>
      </c>
      <c r="E133" s="16">
        <f>'Income Statement'!E5</f>
        <v>72423.56</v>
      </c>
      <c r="F133" s="16">
        <f>'Income Statement'!F5</f>
        <v>57208.12</v>
      </c>
      <c r="G133" s="16">
        <f>'Income Statement'!G5</f>
        <v>92873.82</v>
      </c>
      <c r="I133" s="18"/>
      <c r="J133" s="19"/>
      <c r="K133" s="19"/>
      <c r="L133" s="20"/>
    </row>
    <row r="134" spans="2:12" ht="18.75" x14ac:dyDescent="0.25">
      <c r="B134" s="15" t="str">
        <f>'Balance Sheet'!B37</f>
        <v>Trade Receivables</v>
      </c>
      <c r="C134" s="16">
        <f>'Balance Sheet'!C37</f>
        <v>3429.56</v>
      </c>
      <c r="D134" s="16">
        <f>'Balance Sheet'!D37</f>
        <v>4363.3900000000003</v>
      </c>
      <c r="E134" s="16">
        <f>'Balance Sheet'!E37</f>
        <v>4818.3100000000004</v>
      </c>
      <c r="F134" s="16">
        <f>'Balance Sheet'!F37</f>
        <v>3501.5</v>
      </c>
      <c r="G134" s="16">
        <f>'Balance Sheet'!G37</f>
        <v>7446.53</v>
      </c>
      <c r="I134" s="21"/>
      <c r="J134" s="22"/>
      <c r="K134" s="22"/>
      <c r="L134" s="23"/>
    </row>
    <row r="135" spans="2:12" ht="19.5" thickBot="1" x14ac:dyDescent="0.3">
      <c r="B135" s="17" t="s">
        <v>196</v>
      </c>
      <c r="C135" s="17">
        <f>ROUND(365/C133*C134, 2)</f>
        <v>22.94</v>
      </c>
      <c r="D135" s="17">
        <f t="shared" ref="D135:G135" si="27">ROUND(365/D133*D134, 2)</f>
        <v>20.98</v>
      </c>
      <c r="E135" s="17">
        <f t="shared" si="27"/>
        <v>24.28</v>
      </c>
      <c r="F135" s="17">
        <f t="shared" si="27"/>
        <v>22.34</v>
      </c>
      <c r="G135" s="17">
        <f t="shared" si="27"/>
        <v>29.27</v>
      </c>
      <c r="I135" s="24"/>
      <c r="J135" s="25"/>
      <c r="K135" s="25"/>
      <c r="L135" s="26"/>
    </row>
    <row r="136" spans="2:12" ht="15.75" thickTop="1" x14ac:dyDescent="0.25"/>
    <row r="137" spans="2:12" ht="18.75" x14ac:dyDescent="0.25">
      <c r="B137" s="14" t="s">
        <v>197</v>
      </c>
      <c r="C137" s="14"/>
      <c r="D137" s="14"/>
      <c r="E137" s="14"/>
      <c r="F137" s="14"/>
      <c r="G137" s="14"/>
    </row>
    <row r="138" spans="2:12" ht="18.75" x14ac:dyDescent="0.25">
      <c r="B138" s="15" t="str">
        <f>'Income Statement'!B5</f>
        <v>Gross Sales</v>
      </c>
      <c r="C138" s="16">
        <f>'Income Statement'!C5</f>
        <v>54556.09</v>
      </c>
      <c r="D138" s="16">
        <f>'Income Statement'!D5</f>
        <v>75912.02</v>
      </c>
      <c r="E138" s="16">
        <f>'Income Statement'!E5</f>
        <v>72423.56</v>
      </c>
      <c r="F138" s="16">
        <f>'Income Statement'!F5</f>
        <v>57208.12</v>
      </c>
      <c r="G138" s="16">
        <f>'Income Statement'!G5</f>
        <v>92873.82</v>
      </c>
    </row>
    <row r="139" spans="2:12" ht="18.75" x14ac:dyDescent="0.25">
      <c r="B139" s="15" t="str">
        <f>'Balance Sheet'!B36</f>
        <v>Inventories</v>
      </c>
      <c r="C139" s="16">
        <f>'Balance Sheet'!C36</f>
        <v>1932.51</v>
      </c>
      <c r="D139" s="16">
        <f>'Balance Sheet'!D36</f>
        <v>2502.64</v>
      </c>
      <c r="E139" s="16">
        <f>'Balance Sheet'!E36</f>
        <v>3183.01</v>
      </c>
      <c r="F139" s="16">
        <f>'Balance Sheet'!F36</f>
        <v>2989.73</v>
      </c>
      <c r="G139" s="16">
        <f>'Balance Sheet'!G36</f>
        <v>3576.61</v>
      </c>
    </row>
    <row r="140" spans="2:12" ht="18.75" x14ac:dyDescent="0.25">
      <c r="B140" s="15" t="s">
        <v>192</v>
      </c>
      <c r="C140" s="16">
        <f>ROUND(365/C138*C139, 2)</f>
        <v>12.93</v>
      </c>
      <c r="D140" s="16">
        <f t="shared" ref="D140:G140" si="28">ROUND(365/D138*D139, 2)</f>
        <v>12.03</v>
      </c>
      <c r="E140" s="16">
        <f t="shared" si="28"/>
        <v>16.04</v>
      </c>
      <c r="F140" s="16">
        <f t="shared" si="28"/>
        <v>19.079999999999998</v>
      </c>
      <c r="G140" s="16">
        <f t="shared" si="28"/>
        <v>14.06</v>
      </c>
    </row>
    <row r="141" spans="2:12" ht="19.5" thickBot="1" x14ac:dyDescent="0.3">
      <c r="B141" s="15" t="str">
        <f>'Income Statement'!B11</f>
        <v>Cost Of Materials Consumed</v>
      </c>
      <c r="C141" s="16">
        <f>'Income Statement'!C11</f>
        <v>4140.8999999999996</v>
      </c>
      <c r="D141" s="16">
        <f>'Income Statement'!D11</f>
        <v>5079.83</v>
      </c>
      <c r="E141" s="16">
        <f>'Income Statement'!E11</f>
        <v>4411.97</v>
      </c>
      <c r="F141" s="16">
        <f>'Income Statement'!F11</f>
        <v>3905.88</v>
      </c>
      <c r="G141" s="16">
        <f>'Income Statement'!G11</f>
        <v>11103.28</v>
      </c>
    </row>
    <row r="142" spans="2:12" ht="19.5" thickTop="1" x14ac:dyDescent="0.25">
      <c r="B142" s="15" t="str">
        <f>'Balance Sheet'!B19</f>
        <v>Total Current Liabilities</v>
      </c>
      <c r="C142" s="16">
        <f>'Balance Sheet'!C19</f>
        <v>12481.24</v>
      </c>
      <c r="D142" s="16">
        <f>'Balance Sheet'!D19</f>
        <v>13776.74</v>
      </c>
      <c r="E142" s="16">
        <f>'Balance Sheet'!E19</f>
        <v>15182.099999999999</v>
      </c>
      <c r="F142" s="16">
        <f>'Balance Sheet'!F19</f>
        <v>17256.37</v>
      </c>
      <c r="G142" s="16">
        <f>'Balance Sheet'!G19</f>
        <v>20224.45</v>
      </c>
      <c r="I142" s="18"/>
      <c r="J142" s="19"/>
      <c r="K142" s="19"/>
      <c r="L142" s="20"/>
    </row>
    <row r="143" spans="2:12" ht="18.75" x14ac:dyDescent="0.25">
      <c r="B143" s="15" t="s">
        <v>194</v>
      </c>
      <c r="C143" s="16">
        <f>ROUND(365/C141*C142, 2)</f>
        <v>1100.1600000000001</v>
      </c>
      <c r="D143" s="16">
        <f t="shared" ref="D143:G143" si="29">ROUND(365/D141*D142, 2)</f>
        <v>989.9</v>
      </c>
      <c r="E143" s="16">
        <f t="shared" si="29"/>
        <v>1256.01</v>
      </c>
      <c r="F143" s="16">
        <f t="shared" si="29"/>
        <v>1612.59</v>
      </c>
      <c r="G143" s="16">
        <f t="shared" si="29"/>
        <v>664.84</v>
      </c>
      <c r="I143" s="21"/>
      <c r="J143" s="22"/>
      <c r="K143" s="22"/>
      <c r="L143" s="23"/>
    </row>
    <row r="144" spans="2:12" ht="19.5" thickBot="1" x14ac:dyDescent="0.3">
      <c r="B144" s="17" t="s">
        <v>198</v>
      </c>
      <c r="C144" s="28">
        <f>ROUND(C143+C140, 2)</f>
        <v>1113.0899999999999</v>
      </c>
      <c r="D144" s="28">
        <f t="shared" ref="D144:G144" si="30">ROUND(D143+D140, 2)</f>
        <v>1001.93</v>
      </c>
      <c r="E144" s="28">
        <f t="shared" si="30"/>
        <v>1272.05</v>
      </c>
      <c r="F144" s="28">
        <f t="shared" si="30"/>
        <v>1631.67</v>
      </c>
      <c r="G144" s="28">
        <f t="shared" si="30"/>
        <v>678.9</v>
      </c>
      <c r="I144" s="24"/>
      <c r="J144" s="25"/>
      <c r="K144" s="25"/>
      <c r="L144" s="26"/>
    </row>
    <row r="145" spans="2:12" ht="15.75" thickTop="1" x14ac:dyDescent="0.25"/>
    <row r="146" spans="2:12" ht="18.75" x14ac:dyDescent="0.25">
      <c r="B146" s="14" t="s">
        <v>199</v>
      </c>
      <c r="C146" s="14"/>
      <c r="D146" s="14"/>
      <c r="E146" s="14"/>
      <c r="F146" s="14"/>
      <c r="G146" s="14"/>
    </row>
    <row r="147" spans="2:12" ht="18.75" x14ac:dyDescent="0.25">
      <c r="B147" s="15" t="str">
        <f>'Income Statement'!B5</f>
        <v>Gross Sales</v>
      </c>
      <c r="C147" s="16">
        <f>'Income Statement'!C5</f>
        <v>54556.09</v>
      </c>
      <c r="D147" s="16">
        <f>'Income Statement'!D5</f>
        <v>75912.02</v>
      </c>
      <c r="E147" s="16">
        <f>'Income Statement'!E5</f>
        <v>72423.56</v>
      </c>
      <c r="F147" s="16">
        <f>'Income Statement'!F5</f>
        <v>57208.12</v>
      </c>
      <c r="G147" s="16">
        <f>'Income Statement'!G5</f>
        <v>92873.82</v>
      </c>
    </row>
    <row r="148" spans="2:12" ht="18.75" x14ac:dyDescent="0.25">
      <c r="B148" s="15" t="str">
        <f>'Balance Sheet'!B36</f>
        <v>Inventories</v>
      </c>
      <c r="C148" s="16">
        <f>'Balance Sheet'!C36</f>
        <v>1932.51</v>
      </c>
      <c r="D148" s="16">
        <f>'Balance Sheet'!D36</f>
        <v>2502.64</v>
      </c>
      <c r="E148" s="16">
        <f>'Balance Sheet'!E36</f>
        <v>3183.01</v>
      </c>
      <c r="F148" s="16">
        <f>'Balance Sheet'!F36</f>
        <v>2989.73</v>
      </c>
      <c r="G148" s="16">
        <f>'Balance Sheet'!G36</f>
        <v>3576.61</v>
      </c>
    </row>
    <row r="149" spans="2:12" ht="18.75" x14ac:dyDescent="0.25">
      <c r="B149" s="15" t="s">
        <v>192</v>
      </c>
      <c r="C149" s="16">
        <f>ROUND(365/C147*C148, 2)</f>
        <v>12.93</v>
      </c>
      <c r="D149" s="16">
        <f t="shared" ref="D149:G149" si="31">ROUND(365/D147*D148, 2)</f>
        <v>12.03</v>
      </c>
      <c r="E149" s="16">
        <f t="shared" si="31"/>
        <v>16.04</v>
      </c>
      <c r="F149" s="16">
        <f t="shared" si="31"/>
        <v>19.079999999999998</v>
      </c>
      <c r="G149" s="16">
        <f t="shared" si="31"/>
        <v>14.06</v>
      </c>
    </row>
    <row r="150" spans="2:12" ht="18.75" x14ac:dyDescent="0.25">
      <c r="B150" s="15" t="str">
        <f>'Income Statement'!B11</f>
        <v>Cost Of Materials Consumed</v>
      </c>
      <c r="C150" s="16">
        <f>'Income Statement'!C11</f>
        <v>4140.8999999999996</v>
      </c>
      <c r="D150" s="16">
        <f>'Income Statement'!D11</f>
        <v>5079.83</v>
      </c>
      <c r="E150" s="16">
        <f>'Income Statement'!E11</f>
        <v>4411.97</v>
      </c>
      <c r="F150" s="16">
        <f>'Income Statement'!F11</f>
        <v>3905.88</v>
      </c>
      <c r="G150" s="16">
        <f>'Income Statement'!G11</f>
        <v>11103.28</v>
      </c>
    </row>
    <row r="151" spans="2:12" ht="18.75" x14ac:dyDescent="0.25">
      <c r="B151" s="15" t="str">
        <f>'Balance Sheet'!B19</f>
        <v>Total Current Liabilities</v>
      </c>
      <c r="C151" s="16">
        <f>'Balance Sheet'!C19</f>
        <v>12481.24</v>
      </c>
      <c r="D151" s="16">
        <f>'Balance Sheet'!D19</f>
        <v>13776.74</v>
      </c>
      <c r="E151" s="16">
        <f>'Balance Sheet'!E19</f>
        <v>15182.099999999999</v>
      </c>
      <c r="F151" s="16">
        <f>'Balance Sheet'!F19</f>
        <v>17256.37</v>
      </c>
      <c r="G151" s="16">
        <f>'Balance Sheet'!G19</f>
        <v>20224.45</v>
      </c>
    </row>
    <row r="152" spans="2:12" ht="18.75" x14ac:dyDescent="0.25">
      <c r="B152" s="15" t="s">
        <v>194</v>
      </c>
      <c r="C152" s="16">
        <f>ROUND(365/C150*C151, 2)</f>
        <v>1100.1600000000001</v>
      </c>
      <c r="D152" s="16">
        <f t="shared" ref="D152:G152" si="32">ROUND(365/D150*D151, 2)</f>
        <v>989.9</v>
      </c>
      <c r="E152" s="16">
        <f t="shared" si="32"/>
        <v>1256.01</v>
      </c>
      <c r="F152" s="16">
        <f t="shared" si="32"/>
        <v>1612.59</v>
      </c>
      <c r="G152" s="16">
        <f t="shared" si="32"/>
        <v>664.84</v>
      </c>
    </row>
    <row r="153" spans="2:12" ht="18.75" x14ac:dyDescent="0.25">
      <c r="B153" s="15" t="s">
        <v>200</v>
      </c>
      <c r="C153" s="16">
        <f>ROUND(C152+C149, 2)</f>
        <v>1113.0899999999999</v>
      </c>
      <c r="D153" s="16">
        <f t="shared" ref="D153:G153" si="33">ROUND(D152+D149, 2)</f>
        <v>1001.93</v>
      </c>
      <c r="E153" s="16">
        <f t="shared" si="33"/>
        <v>1272.05</v>
      </c>
      <c r="F153" s="16">
        <f t="shared" si="33"/>
        <v>1631.67</v>
      </c>
      <c r="G153" s="16">
        <f t="shared" si="33"/>
        <v>678.9</v>
      </c>
    </row>
    <row r="154" spans="2:12" ht="19.5" thickBot="1" x14ac:dyDescent="0.3">
      <c r="B154" s="15" t="str">
        <f>'Income Statement'!B11</f>
        <v>Cost Of Materials Consumed</v>
      </c>
      <c r="C154" s="16">
        <f>'Income Statement'!C11</f>
        <v>4140.8999999999996</v>
      </c>
      <c r="D154" s="16">
        <f>'Income Statement'!D11</f>
        <v>5079.83</v>
      </c>
      <c r="E154" s="16">
        <f>'Income Statement'!E11</f>
        <v>4411.97</v>
      </c>
      <c r="F154" s="16">
        <f>'Income Statement'!F11</f>
        <v>3905.88</v>
      </c>
      <c r="G154" s="16">
        <f>'Income Statement'!G11</f>
        <v>11103.28</v>
      </c>
    </row>
    <row r="155" spans="2:12" ht="19.5" thickTop="1" x14ac:dyDescent="0.25">
      <c r="B155" s="15" t="str">
        <f>'Balance Sheet'!B19</f>
        <v>Total Current Liabilities</v>
      </c>
      <c r="C155" s="16">
        <f>'Balance Sheet'!C19</f>
        <v>12481.24</v>
      </c>
      <c r="D155" s="16">
        <f>'Balance Sheet'!D19</f>
        <v>13776.74</v>
      </c>
      <c r="E155" s="16">
        <f>'Balance Sheet'!E19</f>
        <v>15182.099999999999</v>
      </c>
      <c r="F155" s="16">
        <f>'Balance Sheet'!F19</f>
        <v>17256.37</v>
      </c>
      <c r="G155" s="16">
        <f>'Balance Sheet'!G19</f>
        <v>20224.45</v>
      </c>
      <c r="I155" s="18"/>
      <c r="J155" s="19"/>
      <c r="K155" s="19"/>
      <c r="L155" s="20"/>
    </row>
    <row r="156" spans="2:12" ht="18.75" x14ac:dyDescent="0.25">
      <c r="B156" s="15" t="s">
        <v>194</v>
      </c>
      <c r="C156" s="16">
        <f>ROUND(365/C154*C155, 2)</f>
        <v>1100.1600000000001</v>
      </c>
      <c r="D156" s="16">
        <f t="shared" ref="D156:G156" si="34">ROUND(365/D154*D155, 2)</f>
        <v>989.9</v>
      </c>
      <c r="E156" s="16">
        <f t="shared" si="34"/>
        <v>1256.01</v>
      </c>
      <c r="F156" s="16">
        <f t="shared" si="34"/>
        <v>1612.59</v>
      </c>
      <c r="G156" s="16">
        <f t="shared" si="34"/>
        <v>664.84</v>
      </c>
      <c r="I156" s="21"/>
      <c r="J156" s="22"/>
      <c r="K156" s="22"/>
      <c r="L156" s="23"/>
    </row>
    <row r="157" spans="2:12" ht="19.5" thickBot="1" x14ac:dyDescent="0.3">
      <c r="B157" s="17" t="s">
        <v>201</v>
      </c>
      <c r="C157" s="28">
        <f>ROUND(C156-C153, 2)</f>
        <v>-12.93</v>
      </c>
      <c r="D157" s="28">
        <f t="shared" ref="D157:G157" si="35">ROUND(D156-D153, 2)</f>
        <v>-12.03</v>
      </c>
      <c r="E157" s="28">
        <f t="shared" si="35"/>
        <v>-16.04</v>
      </c>
      <c r="F157" s="28">
        <f t="shared" si="35"/>
        <v>-19.079999999999998</v>
      </c>
      <c r="G157" s="28">
        <f t="shared" si="35"/>
        <v>-14.06</v>
      </c>
      <c r="I157" s="24"/>
      <c r="J157" s="25"/>
      <c r="K157" s="25"/>
      <c r="L157" s="26"/>
    </row>
    <row r="158" spans="2:12" ht="15.75" thickTop="1" x14ac:dyDescent="0.25"/>
  </sheetData>
  <mergeCells count="54">
    <mergeCell ref="B132:G132"/>
    <mergeCell ref="I133:L135"/>
    <mergeCell ref="B137:G137"/>
    <mergeCell ref="I142:L144"/>
    <mergeCell ref="B146:G146"/>
    <mergeCell ref="I155:L157"/>
    <mergeCell ref="B117:G117"/>
    <mergeCell ref="I118:L120"/>
    <mergeCell ref="B122:G122"/>
    <mergeCell ref="I123:L125"/>
    <mergeCell ref="B127:G127"/>
    <mergeCell ref="I128:L130"/>
    <mergeCell ref="B102:G102"/>
    <mergeCell ref="I103:L105"/>
    <mergeCell ref="B107:G107"/>
    <mergeCell ref="I108:L110"/>
    <mergeCell ref="B112:G112"/>
    <mergeCell ref="I113:L115"/>
    <mergeCell ref="B87:G87"/>
    <mergeCell ref="I88:L90"/>
    <mergeCell ref="B92:G92"/>
    <mergeCell ref="I93:L95"/>
    <mergeCell ref="B97:G97"/>
    <mergeCell ref="I98:L100"/>
    <mergeCell ref="B71:G71"/>
    <mergeCell ref="I73:L75"/>
    <mergeCell ref="B77:G77"/>
    <mergeCell ref="I78:L80"/>
    <mergeCell ref="B82:G82"/>
    <mergeCell ref="I83:L85"/>
    <mergeCell ref="B56:G56"/>
    <mergeCell ref="I57:L59"/>
    <mergeCell ref="B61:G61"/>
    <mergeCell ref="I62:L64"/>
    <mergeCell ref="B66:G66"/>
    <mergeCell ref="I67:L69"/>
    <mergeCell ref="B40:G40"/>
    <mergeCell ref="I41:L43"/>
    <mergeCell ref="B45:G45"/>
    <mergeCell ref="I46:L48"/>
    <mergeCell ref="B50:G50"/>
    <mergeCell ref="I52:L54"/>
    <mergeCell ref="B20:G20"/>
    <mergeCell ref="I25:L27"/>
    <mergeCell ref="B29:G29"/>
    <mergeCell ref="I31:L33"/>
    <mergeCell ref="B35:G35"/>
    <mergeCell ref="I36:L38"/>
    <mergeCell ref="B5:G5"/>
    <mergeCell ref="I6:L8"/>
    <mergeCell ref="B10:G10"/>
    <mergeCell ref="I11:L13"/>
    <mergeCell ref="B15:G15"/>
    <mergeCell ref="I16:L18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415FD0EC-E92C-4323-8E54-1D3A7D9CF29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  <x14:sparklineGroup type="column" displayEmptyCellsAs="gap" high="1" xr2:uid="{930D9806-06C6-46AD-BF09-977DCB134AE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6312DB43-CA8A-4BD3-BA63-A76B37091C1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8E368586-91FD-4E4D-BB5D-AFE6E0D7ACF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7E81EDA3-EB08-4EBF-8AF9-0015E56E00E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41C89905-5B06-414E-A9D2-1273721293A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A9BCA914-F697-4730-A7DB-B4D858BC023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7023FCF5-D81E-4C90-B45F-C1D168B7058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02258F41-4356-4B7C-A601-A908F3B7AE6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8BFF711C-EEB4-40B7-997C-A9BB6F2C5B4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D085E3C5-6B39-40F7-81A9-F0F652CFC21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9DEB3D0D-409E-43C0-B606-241301C6478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F57AC340-2260-4C7C-BA10-8646EAC7F97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EA520019-219B-48D3-94D3-FB115D4FE35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30521439-E5F7-4018-98EF-F78A8EF7BFC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C1996029-DE13-455E-BCCB-8923D3E91D5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49399992-032A-487A-9427-24A559417E5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26901B7B-5DDF-45CE-89E7-0846066413A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B7F0060A-4033-41EB-A6B2-02F8ED59E1D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159F0078-991D-4114-9858-6C904CFE10D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F4374370-DC3D-4337-98BA-4CB9AFD55B9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008CCDFD-9B7D-458E-B832-EB89796ABFF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AD23D868-CAE7-43FA-95C1-73359CFC7C7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F34B8001-6077-4549-B0A4-8F2316BEBCC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1728D06B-6DCF-4DB8-9BAB-1DD2702679A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1A3C8169-1BB4-4BED-9150-568BC60757C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6B3FAB9D-A0D5-496B-A72D-A80975CF1B9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1B2F6-2C92-4148-A6E3-207EC55841DF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145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41195.99</v>
      </c>
      <c r="D6" s="16">
        <f>'Income Statement'!D27</f>
        <v>59715.790000000015</v>
      </c>
      <c r="E6" s="16">
        <f>'Income Statement'!E27</f>
        <v>59564.75999999998</v>
      </c>
      <c r="F6" s="16">
        <f>'Income Statement'!F27</f>
        <v>44027.430000000008</v>
      </c>
      <c r="G6" s="16">
        <f>'Income Statement'!G27</f>
        <v>69545.190000000017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1961.7138095238095</v>
      </c>
      <c r="D7" s="16">
        <f>'Income Statement'!D35</f>
        <v>2059.1651724137937</v>
      </c>
      <c r="E7" s="16">
        <f>'Income Statement'!E35</f>
        <v>2836.4171428571417</v>
      </c>
      <c r="F7" s="16">
        <f>'Income Statement'!F35</f>
        <v>3144.8164285714292</v>
      </c>
      <c r="G7" s="16">
        <f>'Income Statement'!G35</f>
        <v>2483.7567857142863</v>
      </c>
    </row>
    <row r="8" spans="2:7" ht="18.75" x14ac:dyDescent="0.25">
      <c r="B8" s="17" t="s">
        <v>146</v>
      </c>
      <c r="C8" s="17">
        <f>ROUND(C6/C7, 2)</f>
        <v>21</v>
      </c>
      <c r="D8" s="17">
        <f t="shared" ref="D8:G8" si="0">ROUND(D6/D7, 2)</f>
        <v>29</v>
      </c>
      <c r="E8" s="17">
        <f t="shared" si="0"/>
        <v>21</v>
      </c>
      <c r="F8" s="17">
        <f t="shared" si="0"/>
        <v>14</v>
      </c>
      <c r="G8" s="17">
        <f t="shared" si="0"/>
        <v>28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C4F1C-B516-415A-AC16-B10E1AAEB6D3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147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2106.86</v>
      </c>
      <c r="D6" s="16">
        <f>'Income Statement'!D28</f>
        <v>1734.15</v>
      </c>
      <c r="E6" s="16">
        <f>'Income Statement'!E28</f>
        <v>3285.64</v>
      </c>
      <c r="F6" s="16">
        <f>'Income Statement'!F28</f>
        <v>2238.58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1961.7138095238095</v>
      </c>
      <c r="D7" s="16">
        <f>'Income Statement'!D35</f>
        <v>2059.1651724137937</v>
      </c>
      <c r="E7" s="16">
        <f>'Income Statement'!E35</f>
        <v>2836.4171428571417</v>
      </c>
      <c r="F7" s="16">
        <f>'Income Statement'!F35</f>
        <v>3144.8164285714292</v>
      </c>
      <c r="G7" s="16">
        <f>'Income Statement'!G35</f>
        <v>2483.7567857142863</v>
      </c>
    </row>
    <row r="8" spans="2:7" ht="18.75" x14ac:dyDescent="0.25">
      <c r="B8" s="17" t="s">
        <v>148</v>
      </c>
      <c r="C8" s="17">
        <f>ROUND(C6/C7, 2)</f>
        <v>1.07</v>
      </c>
      <c r="D8" s="17">
        <f t="shared" ref="D8:G8" si="0">ROUND(D6/D7, 2)</f>
        <v>0.84</v>
      </c>
      <c r="E8" s="17">
        <f t="shared" si="0"/>
        <v>1.1599999999999999</v>
      </c>
      <c r="F8" s="17">
        <f t="shared" si="0"/>
        <v>0.71</v>
      </c>
      <c r="G8" s="17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99F43-B4AC-4571-B32B-57149311F84B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4" width="13.140625" bestFit="1" customWidth="1"/>
    <col min="5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149</v>
      </c>
      <c r="C5" s="14"/>
      <c r="D5" s="14"/>
      <c r="E5" s="14"/>
      <c r="F5" s="14"/>
      <c r="G5" s="14"/>
    </row>
    <row r="6" spans="2:7" ht="18.75" x14ac:dyDescent="0.25">
      <c r="B6" s="15" t="str">
        <f>'Balance Sheet'!B9</f>
        <v>Net Worth</v>
      </c>
      <c r="C6" s="16">
        <f>'Balance Sheet'!C9</f>
        <v>41678.57</v>
      </c>
      <c r="D6" s="16">
        <f>'Balance Sheet'!D9</f>
        <v>99303.750000000029</v>
      </c>
      <c r="E6" s="16">
        <f>'Balance Sheet'!E9</f>
        <v>157162.57</v>
      </c>
      <c r="F6" s="16">
        <f>'Balance Sheet'!F9</f>
        <v>198881.67</v>
      </c>
      <c r="G6" s="16">
        <f>'Balance Sheet'!G9</f>
        <v>268426.86000000004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1961.7138095238095</v>
      </c>
      <c r="D7" s="16">
        <f>'Income Statement'!D35</f>
        <v>2059.1651724137937</v>
      </c>
      <c r="E7" s="16">
        <f>'Income Statement'!E35</f>
        <v>2836.4171428571417</v>
      </c>
      <c r="F7" s="16">
        <f>'Income Statement'!F35</f>
        <v>3144.8164285714292</v>
      </c>
      <c r="G7" s="16">
        <f>'Income Statement'!G35</f>
        <v>2483.7567857142863</v>
      </c>
    </row>
    <row r="8" spans="2:7" ht="18.75" x14ac:dyDescent="0.25">
      <c r="B8" s="17" t="s">
        <v>150</v>
      </c>
      <c r="C8" s="17">
        <f>ROUND(C6/C7, 2)</f>
        <v>21.25</v>
      </c>
      <c r="D8" s="17">
        <f t="shared" ref="D8:G8" si="0">ROUND(D6/D7, 2)</f>
        <v>48.23</v>
      </c>
      <c r="E8" s="17">
        <f t="shared" si="0"/>
        <v>55.41</v>
      </c>
      <c r="F8" s="17">
        <f t="shared" si="0"/>
        <v>63.24</v>
      </c>
      <c r="G8" s="17">
        <f t="shared" si="0"/>
        <v>108.07</v>
      </c>
    </row>
  </sheetData>
  <mergeCells count="1">
    <mergeCell ref="B5:G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45</vt:i4>
      </vt:variant>
      <vt:variant>
        <vt:lpstr>Named Ranges</vt:lpstr>
      </vt:variant>
      <vt:variant>
        <vt:i4>84</vt:i4>
      </vt:variant>
    </vt:vector>
  </HeadingPairs>
  <TitlesOfParts>
    <vt:vector size="129" baseType="lpstr">
      <vt:lpstr>BSInput</vt:lpstr>
      <vt:lpstr>ISMInput</vt:lpstr>
      <vt:lpstr>Income Statement</vt:lpstr>
      <vt:lpstr>Balance Sheet</vt:lpstr>
      <vt:lpstr>CashFlow Statement</vt:lpstr>
      <vt:lpstr>Ratios</vt:lpstr>
      <vt:lpstr>Earning  Per Share</vt:lpstr>
      <vt:lpstr>Equity Dividend Per Share</vt:lpstr>
      <vt:lpstr>Book Value  Per Share</vt:lpstr>
      <vt:lpstr>Dividend Pay Out Ratio</vt:lpstr>
      <vt:lpstr>Dividend Retention Ratio</vt:lpstr>
      <vt:lpstr>Gross Profit</vt:lpstr>
      <vt:lpstr>Net Profit</vt:lpstr>
      <vt:lpstr>Return On Assets</vt:lpstr>
      <vt:lpstr>Return On Capital Employeed</vt:lpstr>
      <vt:lpstr>Return On Equity</vt:lpstr>
      <vt:lpstr>Debt Equity Ratio</vt:lpstr>
      <vt:lpstr>Current Ratio</vt:lpstr>
      <vt:lpstr>Quick Ratio</vt:lpstr>
      <vt:lpstr>Interest Coverage Ratio</vt:lpstr>
      <vt:lpstr>Material Consumed</vt:lpstr>
      <vt:lpstr>Defensive Interval Ratio</vt:lpstr>
      <vt:lpstr>Purchases Per Day</vt:lpstr>
      <vt:lpstr>Asset TurnOver Ratio</vt:lpstr>
      <vt:lpstr>Inventory TurnOver Ratio</vt:lpstr>
      <vt:lpstr>Debtors TurnOver Ratio</vt:lpstr>
      <vt:lpstr>Fixed Assets TurnOver Ratio</vt:lpstr>
      <vt:lpstr>Payable TurnOver Ratio</vt:lpstr>
      <vt:lpstr>Inventory Days</vt:lpstr>
      <vt:lpstr>Payable Days</vt:lpstr>
      <vt:lpstr>Receivable Days</vt:lpstr>
      <vt:lpstr>Operating Cycle</vt:lpstr>
      <vt:lpstr>Cash Conversion Cycle Days</vt:lpstr>
      <vt:lpstr>NetWorthVsTotalLiabilties</vt:lpstr>
      <vt:lpstr>PBDITvsPBIT</vt:lpstr>
      <vt:lpstr>CAvsCL</vt:lpstr>
      <vt:lpstr>Long And Short Term Provisions</vt:lpstr>
      <vt:lpstr>MaterialConsumed_DirectExpenses</vt:lpstr>
      <vt:lpstr>Gross Sales In Total 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 Profit CF To Balance Sheet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2022-07-03T11:19:57Z</dcterms:created>
  <dcterms:modified xsi:type="dcterms:W3CDTF">2022-07-04T07:11:35Z</dcterms:modified>
</cp:coreProperties>
</file>