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9D951306-18C7-430D-84EB-10D8928192C2}" xr6:coauthVersionLast="47" xr6:coauthVersionMax="47" xr10:uidLastSave="{00000000-0000-0000-0000-000000000000}"/>
  <bookViews>
    <workbookView xWindow="-120" yWindow="-120" windowWidth="20730" windowHeight="11160" firstSheet="42" activeTab="44" xr2:uid="{F5810049-1111-428E-8D34-7446F219313B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E30" i="4"/>
  <c r="D26" i="4"/>
  <c r="D30" i="4" s="1"/>
  <c r="E26" i="4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G8" i="4"/>
  <c r="G9" i="4" s="1"/>
  <c r="G21" i="4" s="1"/>
  <c r="F9" i="4"/>
  <c r="F21" i="4" s="1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<sst xmlns="http://schemas.openxmlformats.org/spreadsheetml/2006/main" count="490" uniqueCount="203">
  <si>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NMDC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</si>
  <si>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</si>
  <si>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</si>
  <si>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</si>
  <si>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</si>
  <si>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</si>
  <si>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</si>
  <si>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</si>
  <si>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</si>
  <si>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</si>
  <si>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</si>
  <si>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</si>
  <si>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</si>
  <si>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</si>
  <si>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</si>
  <si>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</si>
  <si>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</si>
  <si>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</si>
  <si>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</si>
  <si>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</si>
  <si>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</si>
  <si>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</si>
  <si>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</si>
  <si>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</si>
  <si>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</si>
  <si>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</si>
  <si>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</si>
  <si>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</si>
  <si>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</si>
  <si>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</si>
  <si>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</si>
  <si>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</si>
  <si>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</si>
  <si>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</si>
  <si>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</si>
  <si>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</si>
  <si>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</si>
  <si>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</si>
  <si>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</si>
  <si>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</si>
  <si>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</si>
  <si>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</si>
  <si>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</si>
  <si>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</si>
  <si>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</si>
  <si>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</si>
  <si>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</si>
  <si>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</si>
  <si>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</si>
  <si>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</si>
  <si>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</si>
  <si>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</si>
  <si>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</si>
  <si>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</si>
  <si>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</si>
  <si>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NMDC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</si>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</sst>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39F-4988-88F2-FACF29E0D01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39F-4988-88F2-FACF29E0D01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39F-4988-88F2-FACF29E0D01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12</c:v>
                </c:pt>
                <c:pt idx="1">
                  <c:v>15</c:v>
                </c:pt>
                <c:pt idx="2">
                  <c:v>12</c:v>
                </c:pt>
                <c:pt idx="3">
                  <c:v>21</c:v>
                </c:pt>
                <c:pt idx="4">
                  <c:v>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39F-4988-88F2-FACF29E0D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59232"/>
        <c:axId val="450556280"/>
      </c:lineChart>
      <c:catAx>
        <c:axId val="45055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56280"/>
        <c:crosses val="autoZero"/>
        <c:auto val="0"/>
        <c:lblAlgn val="ctr"/>
        <c:lblOffset val="100"/>
        <c:noMultiLvlLbl val="0"/>
      </c:catAx>
      <c:valAx>
        <c:axId val="450556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59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359-4A24-971F-D517B2D6A61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359-4A24-971F-D517B2D6A61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359-4A24-971F-D517B2D6A6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0.08</c:v>
                </c:pt>
                <c:pt idx="1">
                  <c:v>0.08</c:v>
                </c:pt>
                <c:pt idx="2">
                  <c:v>0.06</c:v>
                </c:pt>
                <c:pt idx="3">
                  <c:v>0.09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59-4A24-971F-D517B2D6A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7808"/>
        <c:axId val="560416496"/>
      </c:lineChart>
      <c:catAx>
        <c:axId val="56041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6496"/>
        <c:crosses val="autoZero"/>
        <c:auto val="0"/>
        <c:lblAlgn val="ctr"/>
        <c:lblOffset val="100"/>
        <c:noMultiLvlLbl val="0"/>
      </c:catAx>
      <c:valAx>
        <c:axId val="560416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60417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658-40E1-85E3-79EFABBB668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658-40E1-85E3-79EFABBB668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658-40E1-85E3-79EFABBB66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0.02</c:v>
                </c:pt>
                <c:pt idx="3">
                  <c:v>0.06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58-40E1-85E3-79EFABBB66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4608"/>
        <c:axId val="553593624"/>
      </c:lineChart>
      <c:catAx>
        <c:axId val="553594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624"/>
        <c:crosses val="autoZero"/>
        <c:auto val="0"/>
        <c:lblAlgn val="ctr"/>
        <c:lblOffset val="100"/>
        <c:noMultiLvlLbl val="0"/>
      </c:catAx>
      <c:valAx>
        <c:axId val="553593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4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74C-49C8-91E4-C193FC21D65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74C-49C8-91E4-C193FC21D65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74C-49C8-91E4-C193FC21D6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3.2</c:v>
                </c:pt>
                <c:pt idx="1">
                  <c:v>3.73</c:v>
                </c:pt>
                <c:pt idx="2">
                  <c:v>4.13</c:v>
                </c:pt>
                <c:pt idx="3">
                  <c:v>3.64</c:v>
                </c:pt>
                <c:pt idx="4">
                  <c:v>4.33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74C-49C8-91E4-C193FC21D6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024"/>
        <c:axId val="548324120"/>
      </c:lineChart>
      <c:catAx>
        <c:axId val="549542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91F-4266-982A-5C65A5FEBBB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91F-4266-982A-5C65A5FEBBB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91F-4266-982A-5C65A5FEBBB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3.04</c:v>
                </c:pt>
                <c:pt idx="1">
                  <c:v>3.54</c:v>
                </c:pt>
                <c:pt idx="2">
                  <c:v>3.89</c:v>
                </c:pt>
                <c:pt idx="3">
                  <c:v>3.46</c:v>
                </c:pt>
                <c:pt idx="4">
                  <c:v>3.99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91F-4266-982A-5C65A5FEBB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3464"/>
        <c:axId val="446640840"/>
      </c:lineChart>
      <c:catAx>
        <c:axId val="44664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0840"/>
        <c:crosses val="autoZero"/>
        <c:auto val="0"/>
        <c:lblAlgn val="ctr"/>
        <c:lblOffset val="100"/>
        <c:noMultiLvlLbl val="0"/>
      </c:catAx>
      <c:valAx>
        <c:axId val="44664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3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EF8-4556-9BFD-3764D88F620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EF8-4556-9BFD-3764D88F62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162.54</c:v>
                </c:pt>
                <c:pt idx="1">
                  <c:v>177.45</c:v>
                </c:pt>
                <c:pt idx="2">
                  <c:v>624.20000000000005</c:v>
                </c:pt>
                <c:pt idx="3">
                  <c:v>520.54999999999995</c:v>
                </c:pt>
                <c:pt idx="4">
                  <c:v>302.43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EF8-4556-9BFD-3764D88F62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7480"/>
        <c:axId val="560418464"/>
      </c:lineChart>
      <c:catAx>
        <c:axId val="560417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8464"/>
        <c:crosses val="autoZero"/>
        <c:auto val="0"/>
        <c:lblAlgn val="ctr"/>
        <c:lblOffset val="100"/>
        <c:noMultiLvlLbl val="0"/>
      </c:catAx>
      <c:valAx>
        <c:axId val="560418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7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C56-4EAD-9F62-426541B3223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C56-4EAD-9F62-426541B322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0.03</c:v>
                </c:pt>
                <c:pt idx="3">
                  <c:v>0.03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C56-4EAD-9F62-426541B32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9528"/>
        <c:axId val="441530512"/>
      </c:lineChart>
      <c:catAx>
        <c:axId val="44152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512"/>
        <c:crosses val="autoZero"/>
        <c:auto val="0"/>
        <c:lblAlgn val="ctr"/>
        <c:lblOffset val="100"/>
        <c:noMultiLvlLbl val="0"/>
      </c:catAx>
      <c:valAx>
        <c:axId val="44153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95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C5-4152-BE78-F86EF1FB0AE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C5-4152-BE78-F86EF1FB0A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5151.87</c:v>
                </c:pt>
                <c:pt idx="1">
                  <c:v>5029.41</c:v>
                </c:pt>
                <c:pt idx="2">
                  <c:v>3688.03</c:v>
                </c:pt>
                <c:pt idx="3">
                  <c:v>8226.7099999999991</c:v>
                </c:pt>
                <c:pt idx="4">
                  <c:v>50126.67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C5-4152-BE78-F86EF1FB0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4856"/>
        <c:axId val="449042480"/>
      </c:lineChart>
      <c:catAx>
        <c:axId val="560414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42480"/>
        <c:crosses val="autoZero"/>
        <c:auto val="0"/>
        <c:lblAlgn val="ctr"/>
        <c:lblOffset val="100"/>
        <c:noMultiLvlLbl val="0"/>
      </c:catAx>
      <c:valAx>
        <c:axId val="449042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4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2C9-4BA1-BE43-946EC64AD8C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2C9-4BA1-BE43-946EC64AD8C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A2C9-4BA1-BE43-946EC64AD8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5460.98</c:v>
                </c:pt>
                <c:pt idx="1">
                  <c:v>5875.73</c:v>
                </c:pt>
                <c:pt idx="2">
                  <c:v>3984.69</c:v>
                </c:pt>
                <c:pt idx="3">
                  <c:v>9246.3700000000008</c:v>
                </c:pt>
                <c:pt idx="4">
                  <c:v>14687.8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C9-4BA1-BE43-946EC64AD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0184"/>
        <c:axId val="446640512"/>
      </c:lineChart>
      <c:catAx>
        <c:axId val="446640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0512"/>
        <c:crosses val="autoZero"/>
        <c:auto val="0"/>
        <c:lblAlgn val="ctr"/>
        <c:lblOffset val="100"/>
        <c:noMultiLvlLbl val="0"/>
      </c:catAx>
      <c:valAx>
        <c:axId val="44664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0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80D-4DA2-835C-96F761B56D2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80D-4DA2-835C-96F761B56D2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0.4</c:v>
                </c:pt>
                <c:pt idx="1">
                  <c:v>0.39</c:v>
                </c:pt>
                <c:pt idx="2">
                  <c:v>0.36</c:v>
                </c:pt>
                <c:pt idx="3">
                  <c:v>0.39</c:v>
                </c:pt>
                <c:pt idx="4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0D-4DA2-835C-96F761B56D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49184"/>
        <c:axId val="622849512"/>
      </c:lineChart>
      <c:catAx>
        <c:axId val="622849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49512"/>
        <c:crosses val="autoZero"/>
        <c:auto val="0"/>
        <c:lblAlgn val="ctr"/>
        <c:lblOffset val="100"/>
        <c:noMultiLvlLbl val="0"/>
      </c:catAx>
      <c:valAx>
        <c:axId val="62284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49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D92-4988-A1BD-E937A936DC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20.32</c:v>
                </c:pt>
                <c:pt idx="1">
                  <c:v>18.239999999999998</c:v>
                </c:pt>
                <c:pt idx="2">
                  <c:v>16.170000000000002</c:v>
                </c:pt>
                <c:pt idx="3">
                  <c:v>16.68</c:v>
                </c:pt>
                <c:pt idx="4">
                  <c:v>11.96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D92-4988-A1BD-E937A936D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040"/>
        <c:axId val="451266336"/>
      </c:lineChart>
      <c:catAx>
        <c:axId val="451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336"/>
        <c:crosses val="autoZero"/>
        <c:auto val="0"/>
        <c:lblAlgn val="ctr"/>
        <c:lblOffset val="100"/>
        <c:noMultiLvlLbl val="0"/>
      </c:catAx>
      <c:valAx>
        <c:axId val="451266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4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177-4CAC-8320-72397250B8A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177-4CAC-8320-72397250B8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5.35</c:v>
                </c:pt>
                <c:pt idx="1">
                  <c:v>5.56</c:v>
                </c:pt>
                <c:pt idx="2">
                  <c:v>5.48</c:v>
                </c:pt>
                <c:pt idx="3">
                  <c:v>7.85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177-4CAC-8320-72397250B8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1856"/>
        <c:axId val="450562184"/>
      </c:lineChart>
      <c:catAx>
        <c:axId val="45056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2184"/>
        <c:crosses val="autoZero"/>
        <c:auto val="0"/>
        <c:lblAlgn val="ctr"/>
        <c:lblOffset val="100"/>
        <c:noMultiLvlLbl val="0"/>
      </c:catAx>
      <c:valAx>
        <c:axId val="45056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61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8CC-4238-A2EC-16A8CA104D7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8CC-4238-A2EC-16A8CA104D7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8CC-4238-A2EC-16A8CA104D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7.89</c:v>
                </c:pt>
                <c:pt idx="1">
                  <c:v>8.5299999999999994</c:v>
                </c:pt>
                <c:pt idx="2">
                  <c:v>5.26</c:v>
                </c:pt>
                <c:pt idx="3">
                  <c:v>7.18</c:v>
                </c:pt>
                <c:pt idx="4">
                  <c:v>8.76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8CC-4238-A2EC-16A8CA104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5272"/>
        <c:axId val="446755600"/>
      </c:lineChart>
      <c:catAx>
        <c:axId val="44675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600"/>
        <c:crosses val="autoZero"/>
        <c:auto val="0"/>
        <c:lblAlgn val="ctr"/>
        <c:lblOffset val="100"/>
        <c:noMultiLvlLbl val="0"/>
      </c:catAx>
      <c:valAx>
        <c:axId val="44675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52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5EC-49D2-92F1-CBC4BD85477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5EC-49D2-92F1-CBC4BD85477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3.69</c:v>
                </c:pt>
                <c:pt idx="1">
                  <c:v>3.8</c:v>
                </c:pt>
                <c:pt idx="2">
                  <c:v>3.59</c:v>
                </c:pt>
                <c:pt idx="3">
                  <c:v>4.63</c:v>
                </c:pt>
                <c:pt idx="4">
                  <c:v>1.1200000000000001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EC-49D2-92F1-CBC4BD854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664"/>
        <c:axId val="446752648"/>
      </c:lineChart>
      <c:catAx>
        <c:axId val="44675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648"/>
        <c:crosses val="autoZero"/>
        <c:auto val="0"/>
        <c:lblAlgn val="ctr"/>
        <c:lblOffset val="100"/>
        <c:noMultiLvlLbl val="0"/>
      </c:catAx>
      <c:valAx>
        <c:axId val="446752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1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ED2-4E01-8FD7-3677BBB592C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D2-4E01-8FD7-3677BBB592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0.1</c:v>
                </c:pt>
                <c:pt idx="1">
                  <c:v>0.12</c:v>
                </c:pt>
                <c:pt idx="2">
                  <c:v>0.13</c:v>
                </c:pt>
                <c:pt idx="3">
                  <c:v>0.08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D2-4E01-8FD7-3677BBB592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864"/>
        <c:axId val="553649192"/>
      </c:lineChart>
      <c:catAx>
        <c:axId val="5536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auto val="0"/>
        <c:lblAlgn val="ctr"/>
        <c:lblOffset val="100"/>
        <c:noMultiLvlLbl val="0"/>
      </c:catAx>
      <c:valAx>
        <c:axId val="55364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7F4-4C44-87D5-EF2A5016E47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7F4-4C44-87D5-EF2A5016E47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7F4-4C44-87D5-EF2A5016E4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17.97</c:v>
                </c:pt>
                <c:pt idx="1">
                  <c:v>20.010000000000002</c:v>
                </c:pt>
                <c:pt idx="2">
                  <c:v>22.57</c:v>
                </c:pt>
                <c:pt idx="3">
                  <c:v>21.89</c:v>
                </c:pt>
                <c:pt idx="4">
                  <c:v>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F4-4C44-87D5-EF2A5016E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240"/>
        <c:axId val="553817864"/>
      </c:lineChart>
      <c:catAx>
        <c:axId val="55381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864"/>
        <c:crosses val="autoZero"/>
        <c:auto val="0"/>
        <c:lblAlgn val="ctr"/>
        <c:lblOffset val="100"/>
        <c:noMultiLvlLbl val="0"/>
      </c:catAx>
      <c:valAx>
        <c:axId val="553817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EC-4BFB-93A0-084E780F7C7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EC-4BFB-93A0-084E780F7C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3546.16</c:v>
                </c:pt>
                <c:pt idx="1">
                  <c:v>2969.5</c:v>
                </c:pt>
                <c:pt idx="2">
                  <c:v>2820.84</c:v>
                </c:pt>
                <c:pt idx="3">
                  <c:v>4482.1899999999996</c:v>
                </c:pt>
                <c:pt idx="4">
                  <c:v>21706.94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C-4BFB-93A0-084E780F7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9328"/>
        <c:axId val="554300312"/>
      </c:lineChart>
      <c:catAx>
        <c:axId val="55429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00312"/>
        <c:crosses val="autoZero"/>
        <c:auto val="0"/>
        <c:lblAlgn val="ctr"/>
        <c:lblOffset val="100"/>
        <c:noMultiLvlLbl val="0"/>
      </c:catAx>
      <c:valAx>
        <c:axId val="554300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299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5EC-4DAE-86A7-A64AB535A3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46.28</c:v>
                </c:pt>
                <c:pt idx="1">
                  <c:v>42.79</c:v>
                </c:pt>
                <c:pt idx="2">
                  <c:v>69.38</c:v>
                </c:pt>
                <c:pt idx="3">
                  <c:v>50.82</c:v>
                </c:pt>
                <c:pt idx="4">
                  <c:v>41.66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EC-4DAE-86A7-A64AB535A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6048"/>
        <c:axId val="554296376"/>
      </c:lineChart>
      <c:catAx>
        <c:axId val="55429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296376"/>
        <c:crosses val="autoZero"/>
        <c:auto val="0"/>
        <c:lblAlgn val="ctr"/>
        <c:lblOffset val="100"/>
        <c:noMultiLvlLbl val="0"/>
      </c:catAx>
      <c:valAx>
        <c:axId val="554296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296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31B-4FE9-811E-99FBF073D09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31B-4FE9-811E-99FBF073D0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3564.13</c:v>
                </c:pt>
                <c:pt idx="1">
                  <c:v>2989.51</c:v>
                </c:pt>
                <c:pt idx="2">
                  <c:v>2843.41</c:v>
                </c:pt>
                <c:pt idx="3">
                  <c:v>4504.08</c:v>
                </c:pt>
                <c:pt idx="4">
                  <c:v>21737.47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1B-4FE9-811E-99FBF073D0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298672"/>
        <c:axId val="554299984"/>
      </c:lineChart>
      <c:catAx>
        <c:axId val="55429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299984"/>
        <c:crosses val="autoZero"/>
        <c:auto val="0"/>
        <c:lblAlgn val="ctr"/>
        <c:lblOffset val="100"/>
        <c:noMultiLvlLbl val="0"/>
      </c:catAx>
      <c:valAx>
        <c:axId val="55429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2986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CB6-4FC6-A613-160485F3D9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-17.97</c:v>
                </c:pt>
                <c:pt idx="1">
                  <c:v>-20.010000000000002</c:v>
                </c:pt>
                <c:pt idx="2">
                  <c:v>-22.57</c:v>
                </c:pt>
                <c:pt idx="3">
                  <c:v>-21.89</c:v>
                </c:pt>
                <c:pt idx="4">
                  <c:v>-30.53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CB6-4FC6-A613-160485F3D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943304"/>
        <c:axId val="440939696"/>
      </c:lineChart>
      <c:catAx>
        <c:axId val="440943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39696"/>
        <c:crosses val="autoZero"/>
        <c:auto val="0"/>
        <c:lblAlgn val="ctr"/>
        <c:lblOffset val="100"/>
        <c:noMultiLvlLbl val="0"/>
      </c:catAx>
      <c:valAx>
        <c:axId val="440939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943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24417.41</c:v>
                </c:pt>
                <c:pt idx="1">
                  <c:v>26927.41</c:v>
                </c:pt>
                <c:pt idx="2">
                  <c:v>28522.800000000003</c:v>
                </c:pt>
                <c:pt idx="3">
                  <c:v>32320.780000000002</c:v>
                </c:pt>
                <c:pt idx="4">
                  <c:v>40512.270000000004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60-41EB-B5C4-6A1581498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40680"/>
        <c:axId val="440942976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28691.32</c:v>
                </c:pt>
                <c:pt idx="1">
                  <c:v>30774.639999999999</c:v>
                </c:pt>
                <c:pt idx="2">
                  <c:v>32144.16</c:v>
                </c:pt>
                <c:pt idx="3">
                  <c:v>39366.53</c:v>
                </c:pt>
                <c:pt idx="4">
                  <c:v>50376.94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60-41EB-B5C4-6A15814988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40680"/>
        <c:axId val="440942976"/>
      </c:lineChart>
      <c:catAx>
        <c:axId val="44094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2976"/>
        <c:crosses val="autoZero"/>
        <c:auto val="1"/>
        <c:lblAlgn val="ctr"/>
        <c:lblOffset val="100"/>
        <c:noMultiLvlLbl val="0"/>
      </c:catAx>
      <c:valAx>
        <c:axId val="44094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0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6286.7799999999988</c:v>
                </c:pt>
                <c:pt idx="1">
                  <c:v>7433.6400000000012</c:v>
                </c:pt>
                <c:pt idx="2">
                  <c:v>6462.0200000000013</c:v>
                </c:pt>
                <c:pt idx="3">
                  <c:v>8979.0499999999993</c:v>
                </c:pt>
                <c:pt idx="4">
                  <c:v>12100.539999999999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E57-4C79-88E3-385D19022F40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6030.1499999999987</c:v>
                </c:pt>
                <c:pt idx="1">
                  <c:v>7154.6000000000013</c:v>
                </c:pt>
                <c:pt idx="2">
                  <c:v>6167.0900000000011</c:v>
                </c:pt>
                <c:pt idx="3">
                  <c:v>8750.5099999999984</c:v>
                </c:pt>
                <c:pt idx="4">
                  <c:v>11812.8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E57-4C79-88E3-385D19022F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0938712"/>
        <c:axId val="450567760"/>
      </c:barChart>
      <c:catAx>
        <c:axId val="440938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7760"/>
        <c:crosses val="autoZero"/>
        <c:auto val="1"/>
        <c:lblAlgn val="ctr"/>
        <c:lblOffset val="100"/>
        <c:noMultiLvlLbl val="0"/>
      </c:catAx>
      <c:valAx>
        <c:axId val="450567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387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D69-49CA-9753-6DE7769016A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D69-49CA-9753-6DE7769016A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D69-49CA-9753-6DE7769016A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D69-49CA-9753-6DE7769016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77.84</c:v>
                </c:pt>
                <c:pt idx="1">
                  <c:v>88.62</c:v>
                </c:pt>
                <c:pt idx="2">
                  <c:v>96.47</c:v>
                </c:pt>
                <c:pt idx="3">
                  <c:v>111.54</c:v>
                </c:pt>
                <c:pt idx="4">
                  <c:v>158.26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D69-49CA-9753-6DE776901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8744"/>
        <c:axId val="450569400"/>
      </c:lineChart>
      <c:catAx>
        <c:axId val="450568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9400"/>
        <c:crosses val="autoZero"/>
        <c:auto val="0"/>
        <c:lblAlgn val="ctr"/>
        <c:lblOffset val="100"/>
        <c:noMultiLvlLbl val="0"/>
      </c:catAx>
      <c:valAx>
        <c:axId val="45056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568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12016.32</c:v>
                </c:pt>
                <c:pt idx="1">
                  <c:v>12957.39</c:v>
                </c:pt>
                <c:pt idx="2">
                  <c:v>12592.200000000003</c:v>
                </c:pt>
                <c:pt idx="3">
                  <c:v>18348.11</c:v>
                </c:pt>
                <c:pt idx="4">
                  <c:v>27541.86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6C-4503-A78E-0528D242E56E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3758.93</c:v>
                </c:pt>
                <c:pt idx="1">
                  <c:v>3469.1899999999996</c:v>
                </c:pt>
                <c:pt idx="2">
                  <c:v>3047.74</c:v>
                </c:pt>
                <c:pt idx="3">
                  <c:v>5037.74</c:v>
                </c:pt>
                <c:pt idx="4">
                  <c:v>6360.43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6C-4503-A78E-0528D242E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071176"/>
        <c:axId val="627073800"/>
      </c:barChart>
      <c:catAx>
        <c:axId val="627071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73800"/>
        <c:crosses val="autoZero"/>
        <c:auto val="1"/>
        <c:lblAlgn val="ctr"/>
        <c:lblOffset val="100"/>
        <c:noMultiLvlLbl val="0"/>
      </c:catAx>
      <c:valAx>
        <c:axId val="627073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71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714.12</c:v>
                </c:pt>
                <c:pt idx="1">
                  <c:v>768.52</c:v>
                </c:pt>
                <c:pt idx="2">
                  <c:v>827.96</c:v>
                </c:pt>
                <c:pt idx="3">
                  <c:v>945.41</c:v>
                </c:pt>
                <c:pt idx="4">
                  <c:v>1092.46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D06-44B8-B178-3AB09362F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97376"/>
        <c:axId val="45019770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27.61</c:v>
                </c:pt>
                <c:pt idx="1">
                  <c:v>41.45</c:v>
                </c:pt>
                <c:pt idx="2">
                  <c:v>222.78</c:v>
                </c:pt>
                <c:pt idx="3">
                  <c:v>98.56</c:v>
                </c:pt>
                <c:pt idx="4">
                  <c:v>15.13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D06-44B8-B178-3AB09362F4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48728"/>
        <c:axId val="546949384"/>
      </c:lineChart>
      <c:catAx>
        <c:axId val="45019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197704"/>
        <c:crosses val="autoZero"/>
        <c:auto val="1"/>
        <c:lblAlgn val="ctr"/>
        <c:lblOffset val="100"/>
        <c:noMultiLvlLbl val="0"/>
      </c:catAx>
      <c:valAx>
        <c:axId val="45019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7376"/>
        <c:crosses val="autoZero"/>
        <c:crossBetween val="between"/>
      </c:valAx>
      <c:valAx>
        <c:axId val="54694938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948728"/>
        <c:crosses val="max"/>
        <c:crossBetween val="between"/>
      </c:valAx>
      <c:catAx>
        <c:axId val="54694872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94938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386.9</c:v>
                </c:pt>
                <c:pt idx="1">
                  <c:v>426.42</c:v>
                </c:pt>
                <c:pt idx="2">
                  <c:v>394.36</c:v>
                </c:pt>
                <c:pt idx="3">
                  <c:v>410.24</c:v>
                </c:pt>
                <c:pt idx="4">
                  <c:v>106.95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C9-44EF-BEBD-769BE735C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944288"/>
        <c:axId val="5542983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2119.73</c:v>
                </c:pt>
                <c:pt idx="1">
                  <c:v>2003.78</c:v>
                </c:pt>
                <c:pt idx="2">
                  <c:v>2096.29</c:v>
                </c:pt>
                <c:pt idx="3">
                  <c:v>2969.38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9C9-44EF-BEBD-769BE735C9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757080"/>
        <c:axId val="551760360"/>
      </c:lineChart>
      <c:catAx>
        <c:axId val="44094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298344"/>
        <c:crosses val="autoZero"/>
        <c:auto val="1"/>
        <c:lblAlgn val="ctr"/>
        <c:lblOffset val="100"/>
        <c:noMultiLvlLbl val="0"/>
      </c:catAx>
      <c:valAx>
        <c:axId val="554298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944288"/>
        <c:crosses val="autoZero"/>
        <c:crossBetween val="between"/>
      </c:valAx>
      <c:valAx>
        <c:axId val="5517603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1757080"/>
        <c:crosses val="max"/>
        <c:crossBetween val="between"/>
      </c:valAx>
      <c:catAx>
        <c:axId val="551757080"/>
        <c:scaling>
          <c:orientation val="minMax"/>
        </c:scaling>
        <c:delete val="1"/>
        <c:axPos val="b"/>
        <c:majorTickMark val="out"/>
        <c:minorTickMark val="none"/>
        <c:tickLblPos val="nextTo"/>
        <c:crossAx val="55176036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11614.17</c:v>
                </c:pt>
                <c:pt idx="1">
                  <c:v>12152.15</c:v>
                </c:pt>
                <c:pt idx="2">
                  <c:v>11698.79</c:v>
                </c:pt>
                <c:pt idx="3">
                  <c:v>15370.05</c:v>
                </c:pt>
                <c:pt idx="4">
                  <c:v>25881.73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7C-4544-B8D3-55EF33D979A3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12137.38</c:v>
                </c:pt>
                <c:pt idx="1">
                  <c:v>12741.11</c:v>
                </c:pt>
                <c:pt idx="2">
                  <c:v>12213.150000000001</c:v>
                </c:pt>
                <c:pt idx="3">
                  <c:v>15721.65</c:v>
                </c:pt>
                <c:pt idx="4">
                  <c:v>26600.25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7C-4544-B8D3-55EF33D979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94424"/>
        <c:axId val="450260504"/>
      </c:barChart>
      <c:catAx>
        <c:axId val="450194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260504"/>
        <c:crosses val="autoZero"/>
        <c:auto val="1"/>
        <c:lblAlgn val="ctr"/>
        <c:lblOffset val="100"/>
        <c:noMultiLvlLbl val="0"/>
      </c:catAx>
      <c:valAx>
        <c:axId val="450260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44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30774.639999999999</c:v>
                </c:pt>
                <c:pt idx="2">
                  <c:v>32144.16</c:v>
                </c:pt>
                <c:pt idx="3">
                  <c:v>39366.53</c:v>
                </c:pt>
                <c:pt idx="4">
                  <c:v>50376.94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93-4104-A44C-5353A0AD81D3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500.09</c:v>
                </c:pt>
                <c:pt idx="1">
                  <c:v>364.15</c:v>
                </c:pt>
                <c:pt idx="2">
                  <c:v>565.57000000000005</c:v>
                </c:pt>
                <c:pt idx="3">
                  <c:v>1994.4699999999998</c:v>
                </c:pt>
                <c:pt idx="4">
                  <c:v>3490.79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C93-4104-A44C-5353A0AD81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837048"/>
        <c:axId val="452841968"/>
      </c:barChart>
      <c:catAx>
        <c:axId val="452837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41968"/>
        <c:crosses val="autoZero"/>
        <c:auto val="1"/>
        <c:lblAlgn val="ctr"/>
        <c:lblOffset val="100"/>
        <c:noMultiLvlLbl val="0"/>
      </c:catAx>
      <c:valAx>
        <c:axId val="452841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70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30774.639999999999</c:v>
                </c:pt>
                <c:pt idx="2">
                  <c:v>32144.16</c:v>
                </c:pt>
                <c:pt idx="3">
                  <c:v>39366.53</c:v>
                </c:pt>
                <c:pt idx="4">
                  <c:v>50376.94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3E-4CD8-B5C2-A9C6AFA0807F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3758.93</c:v>
                </c:pt>
                <c:pt idx="1">
                  <c:v>3469.1899999999996</c:v>
                </c:pt>
                <c:pt idx="2">
                  <c:v>3047.74</c:v>
                </c:pt>
                <c:pt idx="3">
                  <c:v>5037.74</c:v>
                </c:pt>
                <c:pt idx="4">
                  <c:v>6360.43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3E-4CD8-B5C2-A9C6AFA080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758392"/>
        <c:axId val="551755440"/>
      </c:barChart>
      <c:catAx>
        <c:axId val="551758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755440"/>
        <c:crosses val="autoZero"/>
        <c:auto val="1"/>
        <c:lblAlgn val="ctr"/>
        <c:lblOffset val="100"/>
        <c:noMultiLvlLbl val="0"/>
      </c:catAx>
      <c:valAx>
        <c:axId val="551755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7583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30774.639999999999</c:v>
                </c:pt>
                <c:pt idx="2">
                  <c:v>32144.160000000003</c:v>
                </c:pt>
                <c:pt idx="3">
                  <c:v>39366.53</c:v>
                </c:pt>
                <c:pt idx="4">
                  <c:v>50376.94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91-43A8-8205-777DC3FB33C7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16675</c:v>
                </c:pt>
                <c:pt idx="1">
                  <c:v>17817.25</c:v>
                </c:pt>
                <c:pt idx="2">
                  <c:v>19551.96</c:v>
                </c:pt>
                <c:pt idx="3">
                  <c:v>21018.42</c:v>
                </c:pt>
                <c:pt idx="4">
                  <c:v>22835.08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491-43A8-8205-777DC3FB3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614384"/>
        <c:axId val="453617664"/>
      </c:barChart>
      <c:catAx>
        <c:axId val="453614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7664"/>
        <c:crosses val="autoZero"/>
        <c:auto val="1"/>
        <c:lblAlgn val="ctr"/>
        <c:lblOffset val="100"/>
        <c:noMultiLvlLbl val="0"/>
      </c:catAx>
      <c:valAx>
        <c:axId val="453617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43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28691.32</c:v>
                </c:pt>
                <c:pt idx="1">
                  <c:v>30774.639999999999</c:v>
                </c:pt>
                <c:pt idx="2">
                  <c:v>32144.160000000003</c:v>
                </c:pt>
                <c:pt idx="3">
                  <c:v>39366.53</c:v>
                </c:pt>
                <c:pt idx="4">
                  <c:v>50376.94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D4-4DE9-BB6D-0244CC7301E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12016.32</c:v>
                </c:pt>
                <c:pt idx="1">
                  <c:v>12957.39</c:v>
                </c:pt>
                <c:pt idx="2">
                  <c:v>12592.200000000003</c:v>
                </c:pt>
                <c:pt idx="3">
                  <c:v>18348.11</c:v>
                </c:pt>
                <c:pt idx="4">
                  <c:v>27541.86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D4-4DE9-BB6D-0244CC730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068320"/>
        <c:axId val="453071600"/>
      </c:barChart>
      <c:catAx>
        <c:axId val="45306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71600"/>
        <c:crosses val="autoZero"/>
        <c:auto val="1"/>
        <c:lblAlgn val="ctr"/>
        <c:lblOffset val="100"/>
        <c:noMultiLvlLbl val="0"/>
      </c:catAx>
      <c:valAx>
        <c:axId val="453071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83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5850.6</c:v>
                </c:pt>
                <c:pt idx="1">
                  <c:v>5307.4699999999993</c:v>
                </c:pt>
                <c:pt idx="2">
                  <c:v>5751.13</c:v>
                </c:pt>
                <c:pt idx="3">
                  <c:v>6742.5999999999995</c:v>
                </c:pt>
                <c:pt idx="4">
                  <c:v>14499.710000000001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05-4799-9031-FE61959E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527184"/>
        <c:axId val="55952816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12137.38</c:v>
                </c:pt>
                <c:pt idx="1">
                  <c:v>12741.11</c:v>
                </c:pt>
                <c:pt idx="2">
                  <c:v>12213.150000000001</c:v>
                </c:pt>
                <c:pt idx="3">
                  <c:v>15721.65</c:v>
                </c:pt>
                <c:pt idx="4">
                  <c:v>26600.25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05-4799-9031-FE61959E76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055696"/>
        <c:axId val="627060288"/>
      </c:lineChart>
      <c:catAx>
        <c:axId val="559527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528168"/>
        <c:crosses val="autoZero"/>
        <c:auto val="1"/>
        <c:lblAlgn val="ctr"/>
        <c:lblOffset val="100"/>
        <c:noMultiLvlLbl val="0"/>
      </c:catAx>
      <c:valAx>
        <c:axId val="559528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527184"/>
        <c:crosses val="autoZero"/>
        <c:crossBetween val="between"/>
      </c:valAx>
      <c:valAx>
        <c:axId val="6270602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055696"/>
        <c:crosses val="max"/>
        <c:crossBetween val="between"/>
      </c:valAx>
      <c:catAx>
        <c:axId val="627055696"/>
        <c:scaling>
          <c:orientation val="minMax"/>
        </c:scaling>
        <c:delete val="1"/>
        <c:axPos val="b"/>
        <c:majorTickMark val="out"/>
        <c:minorTickMark val="none"/>
        <c:tickLblPos val="nextTo"/>
        <c:crossAx val="62706028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1745.7799999999988</c:v>
                </c:pt>
                <c:pt idx="1">
                  <c:v>2520.2000000000016</c:v>
                </c:pt>
                <c:pt idx="2">
                  <c:v>1595.3900000000015</c:v>
                </c:pt>
                <c:pt idx="3">
                  <c:v>3811.099999999999</c:v>
                </c:pt>
                <c:pt idx="4">
                  <c:v>8191.49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F6-434B-A4D7-A3DD17DA9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437240"/>
        <c:axId val="556435600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3764.0099999999984</c:v>
                </c:pt>
                <c:pt idx="1">
                  <c:v>4557.7500000000018</c:v>
                </c:pt>
                <c:pt idx="2">
                  <c:v>3548.0500000000015</c:v>
                </c:pt>
                <c:pt idx="3">
                  <c:v>6085.2499999999991</c:v>
                </c:pt>
                <c:pt idx="4">
                  <c:v>8191.49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8F6-434B-A4D7-A3DD17DA9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095768"/>
        <c:axId val="621089208"/>
      </c:lineChart>
      <c:catAx>
        <c:axId val="556437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5600"/>
        <c:crosses val="autoZero"/>
        <c:auto val="1"/>
        <c:lblAlgn val="ctr"/>
        <c:lblOffset val="100"/>
        <c:noMultiLvlLbl val="0"/>
      </c:catAx>
      <c:valAx>
        <c:axId val="55643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7240"/>
        <c:crosses val="autoZero"/>
        <c:crossBetween val="between"/>
      </c:valAx>
      <c:valAx>
        <c:axId val="6210892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1095768"/>
        <c:crosses val="max"/>
        <c:crossBetween val="between"/>
      </c:valAx>
      <c:catAx>
        <c:axId val="621095768"/>
        <c:scaling>
          <c:orientation val="minMax"/>
        </c:scaling>
        <c:delete val="1"/>
        <c:axPos val="b"/>
        <c:majorTickMark val="out"/>
        <c:minorTickMark val="none"/>
        <c:tickLblPos val="nextTo"/>
        <c:crossAx val="62108920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AE1-4142-AEE4-7546203F2D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0.45</c:v>
                </c:pt>
                <c:pt idx="1">
                  <c:v>0.37</c:v>
                </c:pt>
                <c:pt idx="2">
                  <c:v>0.46</c:v>
                </c:pt>
                <c:pt idx="3">
                  <c:v>0.37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AE1-4142-AEE4-7546203F2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5128"/>
        <c:axId val="449043136"/>
      </c:lineChart>
      <c:catAx>
        <c:axId val="62751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43136"/>
        <c:crosses val="autoZero"/>
        <c:auto val="0"/>
        <c:lblAlgn val="ctr"/>
        <c:lblOffset val="100"/>
        <c:noMultiLvlLbl val="0"/>
      </c:catAx>
      <c:valAx>
        <c:axId val="44904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5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2A9-450F-9E13-CE29C7244DC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2A9-450F-9E13-CE29C7244D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-4.3499999999999996</c:v>
                </c:pt>
                <c:pt idx="1">
                  <c:v>-4.5599999999999996</c:v>
                </c:pt>
                <c:pt idx="2">
                  <c:v>-4.4800000000000004</c:v>
                </c:pt>
                <c:pt idx="3">
                  <c:v>-6.85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2A9-450F-9E13-CE29C7244D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040512"/>
        <c:axId val="449039856"/>
      </c:lineChart>
      <c:catAx>
        <c:axId val="4490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039856"/>
        <c:crosses val="autoZero"/>
        <c:auto val="0"/>
        <c:lblAlgn val="ctr"/>
        <c:lblOffset val="100"/>
        <c:noMultiLvlLbl val="0"/>
      </c:catAx>
      <c:valAx>
        <c:axId val="44903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04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A6F-4B02-B9A3-A73CE1766F9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A6F-4B02-B9A3-A73CE1766F9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A6F-4B02-B9A3-A73CE1766F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11227.27</c:v>
                </c:pt>
                <c:pt idx="1">
                  <c:v>11725.73</c:v>
                </c:pt>
                <c:pt idx="2">
                  <c:v>11304.43</c:v>
                </c:pt>
                <c:pt idx="3">
                  <c:v>14959.81</c:v>
                </c:pt>
                <c:pt idx="4">
                  <c:v>25774.78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A6F-4B02-B9A3-A73CE1766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566448"/>
        <c:axId val="450566776"/>
      </c:lineChart>
      <c:catAx>
        <c:axId val="45056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6776"/>
        <c:crosses val="autoZero"/>
        <c:auto val="0"/>
        <c:lblAlgn val="ctr"/>
        <c:lblOffset val="100"/>
        <c:noMultiLvlLbl val="0"/>
      </c:catAx>
      <c:valAx>
        <c:axId val="450566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0566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478-4B70-B922-164F4890D79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478-4B70-B922-164F4890D79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478-4B70-B922-164F4890D7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5763.57</c:v>
                </c:pt>
                <c:pt idx="1">
                  <c:v>6844.68</c:v>
                </c:pt>
                <c:pt idx="2">
                  <c:v>5947.66</c:v>
                </c:pt>
                <c:pt idx="3">
                  <c:v>8627.4500000000007</c:v>
                </c:pt>
                <c:pt idx="4">
                  <c:v>11382.02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478-4B70-B922-164F4890D7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647552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552"/>
        <c:crosses val="autoZero"/>
        <c:auto val="0"/>
        <c:lblAlgn val="ctr"/>
        <c:lblOffset val="100"/>
        <c:noMultiLvlLbl val="0"/>
      </c:catAx>
      <c:valAx>
        <c:axId val="553647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1A-4B97-97CB-EE58B1F5FBF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1A-4B97-97CB-EE58B1F5FBF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1A-4B97-97CB-EE58B1F5FB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0.13</c:v>
                </c:pt>
                <c:pt idx="1">
                  <c:v>0.15</c:v>
                </c:pt>
                <c:pt idx="2">
                  <c:v>0.11</c:v>
                </c:pt>
                <c:pt idx="3">
                  <c:v>0.15</c:v>
                </c:pt>
                <c:pt idx="4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1A-4B97-97CB-EE58B1F5F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552"/>
        <c:axId val="553817536"/>
      </c:lineChart>
      <c:catAx>
        <c:axId val="55381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7536"/>
        <c:crosses val="autoZero"/>
        <c:auto val="0"/>
        <c:lblAlgn val="ctr"/>
        <c:lblOffset val="100"/>
        <c:noMultiLvlLbl val="0"/>
      </c:catAx>
      <c:valAx>
        <c:axId val="55381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816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B54-486D-AC0C-19726AC4956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6.03</c:v>
                </c:pt>
                <c:pt idx="1">
                  <c:v>9.82</c:v>
                </c:pt>
                <c:pt idx="2">
                  <c:v>5.45</c:v>
                </c:pt>
                <c:pt idx="3">
                  <c:v>2.19</c:v>
                </c:pt>
                <c:pt idx="4">
                  <c:v>1.69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54-486D-AC0C-19726AC495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2320"/>
        <c:axId val="446750024"/>
      </c:lineChart>
      <c:catAx>
        <c:axId val="446752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2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96A6FE-935D-759F-919F-3B46A2481F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37469AF-6DDA-36F4-E867-AC31F0B1D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304388-DB11-7567-CA34-6E69E2AFB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09EB65-BCC4-9337-6233-AFF41128EE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8AE238-A309-FCF7-F67F-27DB1AFD94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5445DA-6858-30EF-5DE1-41A8B1D4F2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69A8EF-9E5B-72D5-AC60-B2B3398A83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5ABDC9-D8EC-7EFB-2A94-575F8E3983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B4F361-D6A1-F37F-E8D3-5CC8D3712F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85FBD66-9CF7-E3AC-BCB7-7B23D27529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5F54F3-53BD-2CE5-6A29-1BCBA83852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92EF15-53F1-811B-7CE6-89413BDC2DB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E755C0-C031-5DF0-0C29-809819431A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7A5EA1-B62F-F2BB-A6D6-F400CF9991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A6A63C-3255-7F73-D5A9-DDEAE6222D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0B0AAA-16CC-EC0F-B409-4214DE8093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E2E0DC-C12E-B0AE-8117-8716198811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A09CAC-8022-2423-3AD0-77F44369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B57537B-7427-7E45-7F01-FBD55917B5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7CADD7-2920-99DC-3E8A-EF38DA0BBA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0A58EF98-908B-2E0C-960F-4A16501E71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3DC8DD6-A41D-9065-E73F-B03ABDC638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02169D-8403-091D-98B6-DC26FF4974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36C2359-67DB-8678-9D27-5E5C24D6B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9ACA7E80-8030-ABE6-2BA6-589BCBCC3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D29A8DCD-6115-C8AF-4CF9-91CB4F719C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AA35B358-52B5-CF4C-D000-6B8871B20A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69A09DFB-2C7E-D20F-6822-8BAFA71243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2B216D25-AD35-0383-E3FE-EC9572E0BF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D99E1931-ED60-1B8B-BE7C-A44816AF5D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CD6DC7F-48C8-653A-574B-F8757457A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90A5EB4-585F-2DD5-B7BA-B608D34719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9A1D1D4-C57A-F7A1-ADF7-2FABCA4568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5FECDD-4F00-0038-2516-EDD892A83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17AF65-F67A-85F5-FD55-63EF85DC3A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67B7CC-D7BA-CE4C-27C8-34961964E6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60D132-A1D8-CB6D-7B8A-21D5645D632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B9FDFC-CCB8-D738-4168-8373329227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63815B-38E1-E3EF-1372-B59507FAED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D63BD-D51C-48D6-9280-877525F4EFD6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316.39</v>
      </c>
      <c r="D6">
        <v>306.19</v>
      </c>
      <c r="E6">
        <v>306.19</v>
      </c>
      <c r="F6">
        <v>293.07</v>
      </c>
      <c r="G6">
        <v>293.07</v>
      </c>
      <c r="H6" t="s">
        <v>1</v>
      </c>
    </row>
    <row r="7" spans="1:8" x14ac:dyDescent="0.25">
      <c r="B7" t="s">
        <v>6</v>
      </c>
      <c r="C7">
        <v>316.39</v>
      </c>
      <c r="D7">
        <v>306.19</v>
      </c>
      <c r="E7">
        <v>306.19</v>
      </c>
      <c r="F7">
        <v>293.07</v>
      </c>
      <c r="G7">
        <v>293.07</v>
      </c>
      <c r="H7" t="s">
        <v>1</v>
      </c>
    </row>
    <row r="8" spans="1:8" x14ac:dyDescent="0.25">
      <c r="A8" t="s">
        <v>90</v>
      </c>
      <c r="B8" t="s">
        <v>7</v>
      </c>
      <c r="C8" s="2">
        <v>24101.02</v>
      </c>
      <c r="D8" s="2">
        <v>25737.81</v>
      </c>
      <c r="E8" s="2">
        <v>27366.880000000001</v>
      </c>
      <c r="F8" s="2">
        <v>29590.98</v>
      </c>
      <c r="G8" s="2">
        <v>34693.83</v>
      </c>
      <c r="H8" t="s">
        <v>1</v>
      </c>
    </row>
    <row r="9" spans="1:8" x14ac:dyDescent="0.25">
      <c r="B9" t="s">
        <v>8</v>
      </c>
      <c r="C9" s="2">
        <v>24101.02</v>
      </c>
      <c r="D9" s="2">
        <v>25737.81</v>
      </c>
      <c r="E9" s="2">
        <v>27366.880000000001</v>
      </c>
      <c r="F9" s="2">
        <v>29590.98</v>
      </c>
      <c r="G9" s="2">
        <v>34693.83</v>
      </c>
      <c r="H9" t="s">
        <v>1</v>
      </c>
    </row>
    <row r="10" spans="1:8" x14ac:dyDescent="0.25">
      <c r="B10" t="s">
        <v>9</v>
      </c>
      <c r="C10" s="2">
        <v>24417.41</v>
      </c>
      <c r="D10" s="2">
        <v>26044</v>
      </c>
      <c r="E10" s="2">
        <v>27673.07</v>
      </c>
      <c r="F10" s="2">
        <v>29884.05</v>
      </c>
      <c r="G10" s="2">
        <v>34986.9</v>
      </c>
      <c r="H10" t="s">
        <v>1</v>
      </c>
    </row>
    <row r="11" spans="1:8" x14ac:dyDescent="0.25">
      <c r="A11" t="s">
        <v>10</v>
      </c>
      <c r="B11" t="s">
        <v>10</v>
      </c>
      <c r="C11">
        <v>14.89</v>
      </c>
      <c r="D11">
        <v>13.89</v>
      </c>
      <c r="E11">
        <v>8.0500000000000007</v>
      </c>
      <c r="F11">
        <v>13.54</v>
      </c>
      <c r="G11">
        <v>13.45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0</v>
      </c>
      <c r="D13">
        <v>0</v>
      </c>
      <c r="E13">
        <v>0</v>
      </c>
      <c r="F13">
        <v>546.42999999999995</v>
      </c>
      <c r="G13">
        <v>1674.07</v>
      </c>
      <c r="H13" t="s">
        <v>1</v>
      </c>
    </row>
    <row r="14" spans="1:8" x14ac:dyDescent="0.25">
      <c r="A14" t="s">
        <v>91</v>
      </c>
      <c r="B14" t="s">
        <v>13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A15" t="s">
        <v>92</v>
      </c>
      <c r="B15" t="s">
        <v>14</v>
      </c>
      <c r="C15">
        <v>0</v>
      </c>
      <c r="D15">
        <v>0</v>
      </c>
      <c r="E15">
        <v>5.83</v>
      </c>
      <c r="F15">
        <v>4.7</v>
      </c>
      <c r="G15">
        <v>150.28</v>
      </c>
      <c r="H15" t="s">
        <v>1</v>
      </c>
    </row>
    <row r="16" spans="1:8" x14ac:dyDescent="0.25">
      <c r="A16" t="s">
        <v>93</v>
      </c>
      <c r="B16" t="s">
        <v>15</v>
      </c>
      <c r="C16" s="2">
        <v>714.12</v>
      </c>
      <c r="D16">
        <v>768.52</v>
      </c>
      <c r="E16">
        <v>827.96</v>
      </c>
      <c r="F16">
        <v>945.41</v>
      </c>
      <c r="G16">
        <v>1092.46</v>
      </c>
      <c r="H16" t="s">
        <v>1</v>
      </c>
    </row>
    <row r="17" spans="1:8" x14ac:dyDescent="0.25">
      <c r="B17" t="s">
        <v>16</v>
      </c>
      <c r="C17" s="2">
        <v>714.12</v>
      </c>
      <c r="D17" s="2">
        <v>768.52</v>
      </c>
      <c r="E17">
        <v>833.79</v>
      </c>
      <c r="F17">
        <v>1496.54</v>
      </c>
      <c r="G17">
        <v>2916.81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500.09</v>
      </c>
      <c r="D19" s="2">
        <v>364.15</v>
      </c>
      <c r="E19">
        <v>565.57000000000005</v>
      </c>
      <c r="F19">
        <v>1448.04</v>
      </c>
      <c r="G19">
        <v>1816.72</v>
      </c>
      <c r="H19" t="s">
        <v>1</v>
      </c>
    </row>
    <row r="20" spans="1:8" x14ac:dyDescent="0.25">
      <c r="A20" t="s">
        <v>92</v>
      </c>
      <c r="B20" t="s">
        <v>19</v>
      </c>
      <c r="C20">
        <v>159.63999999999999</v>
      </c>
      <c r="D20">
        <v>202.79</v>
      </c>
      <c r="E20">
        <v>225.9</v>
      </c>
      <c r="F20">
        <v>360.78</v>
      </c>
      <c r="G20">
        <v>967.53</v>
      </c>
      <c r="H20" t="s">
        <v>1</v>
      </c>
    </row>
    <row r="21" spans="1:8" x14ac:dyDescent="0.25">
      <c r="A21" t="s">
        <v>92</v>
      </c>
      <c r="B21" t="s">
        <v>20</v>
      </c>
      <c r="C21" s="2">
        <v>2857.56</v>
      </c>
      <c r="D21" s="2">
        <v>2456.4299999999998</v>
      </c>
      <c r="E21" s="2">
        <v>1765.27</v>
      </c>
      <c r="F21" s="2">
        <v>3628.29</v>
      </c>
      <c r="G21" s="2">
        <v>4135.03</v>
      </c>
      <c r="H21" t="s">
        <v>1</v>
      </c>
    </row>
    <row r="22" spans="1:8" x14ac:dyDescent="0.25">
      <c r="A22" t="s">
        <v>93</v>
      </c>
      <c r="B22" t="s">
        <v>21</v>
      </c>
      <c r="C22">
        <v>27.61</v>
      </c>
      <c r="D22">
        <v>41.45</v>
      </c>
      <c r="E22">
        <v>222.78</v>
      </c>
      <c r="F22">
        <v>98.56</v>
      </c>
      <c r="G22">
        <v>15.13</v>
      </c>
      <c r="H22" t="s">
        <v>1</v>
      </c>
    </row>
    <row r="23" spans="1:8" x14ac:dyDescent="0.25">
      <c r="B23" t="s">
        <v>22</v>
      </c>
      <c r="C23" s="2">
        <v>3544.9</v>
      </c>
      <c r="D23" s="2">
        <v>3064.82</v>
      </c>
      <c r="E23" s="2">
        <v>2779.52</v>
      </c>
      <c r="F23" s="2">
        <v>5535.67</v>
      </c>
      <c r="G23" s="2">
        <v>6934.41</v>
      </c>
      <c r="H23" t="s">
        <v>1</v>
      </c>
    </row>
    <row r="24" spans="1:8" x14ac:dyDescent="0.25">
      <c r="B24" t="s">
        <v>23</v>
      </c>
      <c r="C24" s="2">
        <v>28691.32</v>
      </c>
      <c r="D24" s="2">
        <v>29891.23</v>
      </c>
      <c r="E24" s="2">
        <v>31294.43</v>
      </c>
      <c r="F24" s="2">
        <v>36929.800000000003</v>
      </c>
      <c r="G24" s="2">
        <v>44851.57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3149.61</v>
      </c>
      <c r="D27" s="2">
        <v>3198.51</v>
      </c>
      <c r="E27" s="2">
        <v>3260.95</v>
      </c>
      <c r="F27" s="2">
        <v>3320.95</v>
      </c>
      <c r="G27" s="2">
        <v>23030.38</v>
      </c>
      <c r="H27" t="s">
        <v>1</v>
      </c>
    </row>
    <row r="28" spans="1:8" x14ac:dyDescent="0.25">
      <c r="A28" t="s">
        <v>29</v>
      </c>
      <c r="B28" t="s">
        <v>27</v>
      </c>
      <c r="C28">
        <v>213.71</v>
      </c>
      <c r="D28">
        <v>220.01</v>
      </c>
      <c r="E28">
        <v>454.66</v>
      </c>
      <c r="F28">
        <v>518.57000000000005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12545.06</v>
      </c>
      <c r="D29" s="2">
        <v>13818.9</v>
      </c>
      <c r="E29" s="2">
        <v>15500.22</v>
      </c>
      <c r="F29" s="2">
        <v>17106.509999999998</v>
      </c>
      <c r="G29" s="2">
        <v>0</v>
      </c>
      <c r="H29" t="s">
        <v>1</v>
      </c>
    </row>
    <row r="30" spans="1:8" x14ac:dyDescent="0.25">
      <c r="B30" t="s">
        <v>29</v>
      </c>
      <c r="C30" s="2">
        <v>15908.38</v>
      </c>
      <c r="D30" s="2">
        <v>17237.419999999998</v>
      </c>
      <c r="E30" s="2">
        <v>19245.47</v>
      </c>
      <c r="F30" s="2">
        <v>20997.45</v>
      </c>
      <c r="G30" s="2">
        <v>23030.38</v>
      </c>
      <c r="H30" t="s">
        <v>1</v>
      </c>
    </row>
    <row r="31" spans="1:8" x14ac:dyDescent="0.25">
      <c r="A31" t="s">
        <v>94</v>
      </c>
      <c r="B31" t="s">
        <v>30</v>
      </c>
      <c r="C31">
        <v>672.73</v>
      </c>
      <c r="D31">
        <v>858.87</v>
      </c>
      <c r="E31">
        <v>910.1</v>
      </c>
      <c r="F31">
        <v>874.9</v>
      </c>
      <c r="G31">
        <v>894.95</v>
      </c>
      <c r="H31" t="s">
        <v>1</v>
      </c>
    </row>
    <row r="32" spans="1:8" x14ac:dyDescent="0.25">
      <c r="A32" t="s">
        <v>95</v>
      </c>
      <c r="B32" t="s">
        <v>31</v>
      </c>
      <c r="C32">
        <v>385.71</v>
      </c>
      <c r="D32">
        <v>582.73</v>
      </c>
      <c r="E32">
        <v>397.07</v>
      </c>
      <c r="F32">
        <v>408.28</v>
      </c>
      <c r="G32">
        <v>530.95000000000005</v>
      </c>
      <c r="H32" t="s">
        <v>1</v>
      </c>
    </row>
    <row r="33" spans="1:8" x14ac:dyDescent="0.25">
      <c r="A33" t="s">
        <v>95</v>
      </c>
      <c r="B33" t="s">
        <v>32</v>
      </c>
      <c r="C33">
        <v>140.07</v>
      </c>
      <c r="D33">
        <v>154.71</v>
      </c>
      <c r="E33">
        <v>224.38</v>
      </c>
      <c r="F33">
        <v>259.17</v>
      </c>
      <c r="G33">
        <v>40.770000000000003</v>
      </c>
      <c r="H33" t="s">
        <v>1</v>
      </c>
    </row>
    <row r="34" spans="1:8" x14ac:dyDescent="0.25">
      <c r="A34" t="s">
        <v>95</v>
      </c>
      <c r="B34" t="s">
        <v>33</v>
      </c>
      <c r="C34" s="2">
        <v>2626.23</v>
      </c>
      <c r="D34" s="2">
        <v>2986.32</v>
      </c>
      <c r="E34" s="2">
        <v>3075.48</v>
      </c>
      <c r="F34" s="2">
        <v>3695.91</v>
      </c>
      <c r="G34" s="2">
        <v>4449.8</v>
      </c>
      <c r="H34" t="s">
        <v>1</v>
      </c>
    </row>
    <row r="35" spans="1:8" x14ac:dyDescent="0.25">
      <c r="B35" t="s">
        <v>34</v>
      </c>
      <c r="C35" s="2">
        <v>19827.009999999998</v>
      </c>
      <c r="D35" s="2">
        <v>21913.94</v>
      </c>
      <c r="E35" s="2">
        <v>23946.39</v>
      </c>
      <c r="F35" s="2">
        <v>26329.599999999999</v>
      </c>
      <c r="G35" s="2">
        <v>29040.74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571.69000000000005</v>
      </c>
      <c r="D38">
        <v>666.17</v>
      </c>
      <c r="E38">
        <v>723.51</v>
      </c>
      <c r="F38">
        <v>921.72</v>
      </c>
      <c r="G38">
        <v>2164.9</v>
      </c>
      <c r="H38" t="s">
        <v>1</v>
      </c>
    </row>
    <row r="39" spans="1:8" x14ac:dyDescent="0.25">
      <c r="A39" t="s">
        <v>96</v>
      </c>
      <c r="B39" t="s">
        <v>38</v>
      </c>
      <c r="C39" s="2">
        <v>1472.74</v>
      </c>
      <c r="D39" s="2">
        <v>1424.51</v>
      </c>
      <c r="E39" s="2">
        <v>2223.71</v>
      </c>
      <c r="F39" s="2">
        <v>2139.89</v>
      </c>
      <c r="G39" s="2">
        <v>2954.3</v>
      </c>
      <c r="H39" t="s">
        <v>1</v>
      </c>
    </row>
    <row r="40" spans="1:8" x14ac:dyDescent="0.25">
      <c r="A40" t="s">
        <v>96</v>
      </c>
      <c r="B40" t="s">
        <v>39</v>
      </c>
      <c r="C40" s="2">
        <v>5460.98</v>
      </c>
      <c r="D40" s="2">
        <v>4619.3900000000003</v>
      </c>
      <c r="E40" s="2">
        <v>2437.46</v>
      </c>
      <c r="F40" s="2">
        <v>5861.82</v>
      </c>
      <c r="G40" s="2">
        <v>7978.29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1358.9</v>
      </c>
      <c r="D42" s="2">
        <v>1267.22</v>
      </c>
      <c r="E42" s="2">
        <v>1963.36</v>
      </c>
      <c r="F42" s="2">
        <v>1676.77</v>
      </c>
      <c r="G42" s="2">
        <v>2713.34</v>
      </c>
      <c r="H42" t="s">
        <v>1</v>
      </c>
    </row>
    <row r="43" spans="1:8" x14ac:dyDescent="0.25">
      <c r="B43" t="s">
        <v>42</v>
      </c>
      <c r="C43" s="2">
        <v>8864.31</v>
      </c>
      <c r="D43" s="2">
        <v>7977.29</v>
      </c>
      <c r="E43" s="2">
        <v>7348.04</v>
      </c>
      <c r="F43" s="2">
        <v>10600.2</v>
      </c>
      <c r="G43" s="2">
        <v>15810.83</v>
      </c>
      <c r="H43" t="s">
        <v>1</v>
      </c>
    </row>
    <row r="44" spans="1:8" x14ac:dyDescent="0.25">
      <c r="B44" t="s">
        <v>43</v>
      </c>
      <c r="C44" s="2">
        <v>28691.32</v>
      </c>
      <c r="D44" s="2">
        <v>29891.23</v>
      </c>
      <c r="E44" s="2">
        <v>31294.43</v>
      </c>
      <c r="F44" s="2">
        <v>36929.800000000003</v>
      </c>
      <c r="G44" s="2">
        <v>44851.57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10070.5</v>
      </c>
      <c r="D47" s="2">
        <v>9879.2099999999991</v>
      </c>
      <c r="E47" s="2">
        <v>8601.9500000000007</v>
      </c>
      <c r="F47" s="2">
        <v>9854.61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264.31</v>
      </c>
      <c r="D49">
        <v>255.79</v>
      </c>
      <c r="E49">
        <v>255.79</v>
      </c>
      <c r="F49">
        <v>255.79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42.17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653.74</v>
      </c>
      <c r="D52">
        <v>856.86</v>
      </c>
      <c r="E52">
        <v>910.1</v>
      </c>
      <c r="F52">
        <v>880.15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EE415-B61B-46AE-8B59-BB534F345602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1676.86</v>
      </c>
      <c r="D6" s="16">
        <f>'Income Statement'!D28</f>
        <v>1690.14</v>
      </c>
      <c r="E6" s="16">
        <f>'Income Statement'!E28</f>
        <v>1619.72</v>
      </c>
      <c r="F6" s="16">
        <f>'Income Statement'!F28</f>
        <v>2274.15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</row>
    <row r="8" spans="2:7" ht="18.75" x14ac:dyDescent="0.25">
      <c r="B8" s="15" t="s">
        <v>148</v>
      </c>
      <c r="C8" s="16">
        <f>ROUND(C6/C7, 2)</f>
        <v>5.35</v>
      </c>
      <c r="D8" s="16">
        <f t="shared" ref="D8:G8" si="0">ROUND(D6/D7, 2)</f>
        <v>5.56</v>
      </c>
      <c r="E8" s="16">
        <f t="shared" si="0"/>
        <v>5.48</v>
      </c>
      <c r="F8" s="16">
        <f t="shared" si="0"/>
        <v>7.85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3764.0099999999984</v>
      </c>
      <c r="D9" s="16">
        <f>'Income Statement'!D27</f>
        <v>4557.7500000000018</v>
      </c>
      <c r="E9" s="16">
        <f>'Income Statement'!E27</f>
        <v>3548.0500000000015</v>
      </c>
      <c r="F9" s="16">
        <f>'Income Statement'!F27</f>
        <v>6085.2499999999991</v>
      </c>
      <c r="G9" s="16">
        <f>'Income Statement'!G27</f>
        <v>8191.49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313.66749999999985</v>
      </c>
      <c r="D10" s="16">
        <f>'Income Statement'!D35</f>
        <v>303.85000000000014</v>
      </c>
      <c r="E10" s="16">
        <f>'Income Statement'!E35</f>
        <v>295.67083333333346</v>
      </c>
      <c r="F10" s="16">
        <f>'Income Statement'!F35</f>
        <v>289.77380952380946</v>
      </c>
      <c r="G10" s="16">
        <f>'Income Statement'!G35</f>
        <v>255.98406249999999</v>
      </c>
    </row>
    <row r="11" spans="2:7" ht="18.75" x14ac:dyDescent="0.25">
      <c r="B11" s="15" t="s">
        <v>146</v>
      </c>
      <c r="C11" s="16">
        <f>C9/C10</f>
        <v>12</v>
      </c>
      <c r="D11" s="16">
        <f t="shared" ref="D11:G11" si="1">D9/D10</f>
        <v>15</v>
      </c>
      <c r="E11" s="16">
        <f t="shared" si="1"/>
        <v>12</v>
      </c>
      <c r="F11" s="16">
        <f t="shared" si="1"/>
        <v>21</v>
      </c>
      <c r="G11" s="16">
        <f t="shared" si="1"/>
        <v>32</v>
      </c>
    </row>
    <row r="12" spans="2:7" ht="18.75" x14ac:dyDescent="0.25">
      <c r="B12" s="17" t="s">
        <v>152</v>
      </c>
      <c r="C12" s="17">
        <f>ROUND(C8/C11, 2)</f>
        <v>0.45</v>
      </c>
      <c r="D12" s="17">
        <f t="shared" ref="D12:G12" si="2">ROUND(D8/D11, 2)</f>
        <v>0.37</v>
      </c>
      <c r="E12" s="17">
        <f t="shared" si="2"/>
        <v>0.46</v>
      </c>
      <c r="F12" s="17">
        <f t="shared" si="2"/>
        <v>0.37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DB542-27BD-4C18-AEA2-74C8D900A6CF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3.57031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1676.86</v>
      </c>
      <c r="D6" s="16">
        <f>'Income Statement'!D28</f>
        <v>1690.14</v>
      </c>
      <c r="E6" s="16">
        <f>'Income Statement'!E28</f>
        <v>1619.72</v>
      </c>
      <c r="F6" s="16">
        <f>'Income Statement'!F28</f>
        <v>2274.15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</row>
    <row r="8" spans="2:7" ht="18.75" x14ac:dyDescent="0.25">
      <c r="B8" s="15" t="s">
        <v>154</v>
      </c>
      <c r="C8" s="16">
        <f>ROUND(C6/C7, 2)</f>
        <v>5.35</v>
      </c>
      <c r="D8" s="16">
        <f t="shared" ref="D8:G8" si="0">ROUND(D6/D7, 2)</f>
        <v>5.56</v>
      </c>
      <c r="E8" s="16">
        <f t="shared" si="0"/>
        <v>5.48</v>
      </c>
      <c r="F8" s="16">
        <f t="shared" si="0"/>
        <v>7.85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-4.3499999999999996</v>
      </c>
      <c r="D9" s="27">
        <f t="shared" ref="D9:G9" si="1">1-D8</f>
        <v>-4.5599999999999996</v>
      </c>
      <c r="E9" s="27">
        <f t="shared" si="1"/>
        <v>-4.4800000000000004</v>
      </c>
      <c r="F9" s="27">
        <f t="shared" si="1"/>
        <v>-6.85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CCB1-D16E-4462-A51A-8602203749D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386.9</v>
      </c>
      <c r="D7" s="16">
        <f>'Income Statement'!D11</f>
        <v>426.42</v>
      </c>
      <c r="E7" s="16">
        <f>'Income Statement'!E11</f>
        <v>394.36</v>
      </c>
      <c r="F7" s="16">
        <f>'Income Statement'!F11</f>
        <v>410.24</v>
      </c>
      <c r="G7" s="16">
        <f>'Income Statement'!G11</f>
        <v>106.95</v>
      </c>
    </row>
    <row r="8" spans="2:7" ht="18.75" x14ac:dyDescent="0.25">
      <c r="B8" s="17" t="s">
        <v>157</v>
      </c>
      <c r="C8" s="28">
        <f>ROUND(C6- C7, 2)</f>
        <v>11227.27</v>
      </c>
      <c r="D8" s="28">
        <f t="shared" ref="D8:G8" si="0">ROUND(D6- D7, 2)</f>
        <v>11725.73</v>
      </c>
      <c r="E8" s="28">
        <f t="shared" si="0"/>
        <v>11304.43</v>
      </c>
      <c r="F8" s="28">
        <f t="shared" si="0"/>
        <v>14959.81</v>
      </c>
      <c r="G8" s="28">
        <f t="shared" si="0"/>
        <v>25774.78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4757F0-8073-496D-B37F-2458A40B7E9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'Income Statement'!B15</f>
        <v>Total Expenditure</v>
      </c>
      <c r="C7" s="16">
        <f>'Income Statement'!C15</f>
        <v>5850.6</v>
      </c>
      <c r="D7" s="16">
        <f>'Income Statement'!D15</f>
        <v>5307.4699999999993</v>
      </c>
      <c r="E7" s="16">
        <f>'Income Statement'!E15</f>
        <v>5751.13</v>
      </c>
      <c r="F7" s="16">
        <f>'Income Statement'!F15</f>
        <v>6742.5999999999995</v>
      </c>
      <c r="G7" s="16">
        <f>'Income Statement'!G15</f>
        <v>14499.710000000001</v>
      </c>
    </row>
    <row r="8" spans="2:7" ht="18.75" x14ac:dyDescent="0.25">
      <c r="B8" s="17" t="s">
        <v>159</v>
      </c>
      <c r="C8" s="28">
        <f>ROUND(C6- C7, 2)</f>
        <v>5763.57</v>
      </c>
      <c r="D8" s="28">
        <f t="shared" ref="D8:G8" si="0">ROUND(D6- D7, 2)</f>
        <v>6844.68</v>
      </c>
      <c r="E8" s="28">
        <f t="shared" si="0"/>
        <v>5947.66</v>
      </c>
      <c r="F8" s="28">
        <f t="shared" si="0"/>
        <v>8627.4500000000007</v>
      </c>
      <c r="G8" s="28">
        <f t="shared" si="0"/>
        <v>11382.02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A16E-712E-4890-8C74-6A9EC703AAF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3764.0099999999984</v>
      </c>
      <c r="D6" s="16">
        <f>'Income Statement'!D27</f>
        <v>4557.7500000000018</v>
      </c>
      <c r="E6" s="16">
        <f>'Income Statement'!E27</f>
        <v>3548.0500000000015</v>
      </c>
      <c r="F6" s="16">
        <f>'Income Statement'!F27</f>
        <v>6085.2499999999991</v>
      </c>
      <c r="G6" s="16">
        <f>'Income Statement'!G27</f>
        <v>8191.49</v>
      </c>
    </row>
    <row r="7" spans="2:7" ht="18.75" x14ac:dyDescent="0.25">
      <c r="B7" s="15" t="str">
        <f>'Balance Sheet'!B40</f>
        <v>Total Assets</v>
      </c>
      <c r="C7" s="16">
        <f>'Balance Sheet'!C40</f>
        <v>28691.32</v>
      </c>
      <c r="D7" s="16">
        <f>'Balance Sheet'!D40</f>
        <v>30774.639999999999</v>
      </c>
      <c r="E7" s="16">
        <f>'Balance Sheet'!E40</f>
        <v>32144.160000000003</v>
      </c>
      <c r="F7" s="16">
        <f>'Balance Sheet'!F40</f>
        <v>39366.53</v>
      </c>
      <c r="G7" s="16">
        <f>'Balance Sheet'!G40</f>
        <v>50376.94</v>
      </c>
    </row>
    <row r="8" spans="2:7" ht="18.75" x14ac:dyDescent="0.25">
      <c r="B8" s="17" t="s">
        <v>161</v>
      </c>
      <c r="C8" s="27">
        <f>ROUND(C6/ C7, 2)</f>
        <v>0.13</v>
      </c>
      <c r="D8" s="27">
        <f t="shared" ref="D8:G8" si="0">ROUND(D6/ D7, 2)</f>
        <v>0.15</v>
      </c>
      <c r="E8" s="27">
        <f t="shared" si="0"/>
        <v>0.11</v>
      </c>
      <c r="F8" s="27">
        <f t="shared" si="0"/>
        <v>0.15</v>
      </c>
      <c r="G8" s="27">
        <f t="shared" si="0"/>
        <v>0.16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66E59-6F6F-46E8-BCA3-38CF58CF556D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6030.1499999999987</v>
      </c>
      <c r="D6" s="16">
        <f>'Income Statement'!D19</f>
        <v>7154.6000000000013</v>
      </c>
      <c r="E6" s="16">
        <f>'Income Statement'!E19</f>
        <v>6167.0900000000011</v>
      </c>
      <c r="F6" s="16">
        <f>'Income Statement'!F19</f>
        <v>8750.5099999999984</v>
      </c>
      <c r="G6" s="16">
        <f>'Income Statement'!G19</f>
        <v>11812.8</v>
      </c>
    </row>
    <row r="7" spans="2:7" ht="18.75" x14ac:dyDescent="0.25">
      <c r="B7" s="15" t="str">
        <f>'Balance Sheet'!B13</f>
        <v>Total Debt</v>
      </c>
      <c r="C7" s="16">
        <f>'Balance Sheet'!C13</f>
        <v>500.09</v>
      </c>
      <c r="D7" s="16">
        <f>'Balance Sheet'!D13</f>
        <v>364.15</v>
      </c>
      <c r="E7" s="16">
        <f>'Balance Sheet'!E13</f>
        <v>565.57000000000005</v>
      </c>
      <c r="F7" s="16">
        <f>'Balance Sheet'!F13</f>
        <v>1994.4699999999998</v>
      </c>
      <c r="G7" s="16">
        <f>'Balance Sheet'!G13</f>
        <v>3490.79</v>
      </c>
    </row>
    <row r="8" spans="2:7" ht="18.75" x14ac:dyDescent="0.25">
      <c r="B8" s="15" t="str">
        <f>'Balance Sheet'!B9</f>
        <v>Net Worth</v>
      </c>
      <c r="C8" s="16">
        <f>'Balance Sheet'!C9</f>
        <v>24417.41</v>
      </c>
      <c r="D8" s="16">
        <f>'Balance Sheet'!D9</f>
        <v>26927.41</v>
      </c>
      <c r="E8" s="16">
        <f>'Balance Sheet'!E9</f>
        <v>28522.800000000003</v>
      </c>
      <c r="F8" s="16">
        <f>'Balance Sheet'!F9</f>
        <v>32320.780000000002</v>
      </c>
      <c r="G8" s="16">
        <f>'Balance Sheet'!G9</f>
        <v>40512.270000000004</v>
      </c>
    </row>
    <row r="9" spans="2:7" ht="18.75" x14ac:dyDescent="0.25">
      <c r="B9" s="17" t="s">
        <v>163</v>
      </c>
      <c r="C9" s="27">
        <f>ROUND(C6/ (C7+ C7), 2)</f>
        <v>6.03</v>
      </c>
      <c r="D9" s="27">
        <f t="shared" ref="D9:G9" si="0">ROUND(D6/ (D7+ D7), 2)</f>
        <v>9.82</v>
      </c>
      <c r="E9" s="27">
        <f t="shared" si="0"/>
        <v>5.45</v>
      </c>
      <c r="F9" s="27">
        <f t="shared" si="0"/>
        <v>2.19</v>
      </c>
      <c r="G9" s="27">
        <f t="shared" si="0"/>
        <v>1.69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D6A009-4931-412B-AD8E-E4B84EDC420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3764.0099999999984</v>
      </c>
      <c r="D6" s="16">
        <f>'Income Statement'!D27</f>
        <v>4557.7500000000018</v>
      </c>
      <c r="E6" s="16">
        <f>'Income Statement'!E27</f>
        <v>3548.0500000000015</v>
      </c>
      <c r="F6" s="16">
        <f>'Income Statement'!F27</f>
        <v>6085.2499999999991</v>
      </c>
      <c r="G6" s="16">
        <f>'Income Statement'!G27</f>
        <v>8191.49</v>
      </c>
    </row>
    <row r="7" spans="2:7" ht="18.75" x14ac:dyDescent="0.25">
      <c r="B7" s="15" t="str">
        <f>'Balance Sheet'!B9</f>
        <v>Net Worth</v>
      </c>
      <c r="C7" s="16">
        <f>'Balance Sheet'!C9</f>
        <v>24417.41</v>
      </c>
      <c r="D7" s="16">
        <f>'Balance Sheet'!D9</f>
        <v>26927.41</v>
      </c>
      <c r="E7" s="16">
        <f>'Balance Sheet'!E9</f>
        <v>28522.800000000003</v>
      </c>
      <c r="F7" s="16">
        <f>'Balance Sheet'!F9</f>
        <v>32320.780000000002</v>
      </c>
      <c r="G7" s="16">
        <f>'Balance Sheet'!G9</f>
        <v>40512.270000000004</v>
      </c>
    </row>
    <row r="8" spans="2:7" ht="18.75" x14ac:dyDescent="0.25">
      <c r="B8" s="17" t="s">
        <v>165</v>
      </c>
      <c r="C8" s="27">
        <f>ROUND(C6/ (C7+ C7), 2)</f>
        <v>0.08</v>
      </c>
      <c r="D8" s="27">
        <f t="shared" ref="D8:G8" si="0">ROUND(D6/ (D7+ D7), 2)</f>
        <v>0.08</v>
      </c>
      <c r="E8" s="27">
        <f t="shared" si="0"/>
        <v>0.06</v>
      </c>
      <c r="F8" s="27">
        <f t="shared" si="0"/>
        <v>0.09</v>
      </c>
      <c r="G8" s="27">
        <f t="shared" si="0"/>
        <v>0.1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8AF82-6AE7-4678-BD43-175E1955DB5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500.09</v>
      </c>
      <c r="D6" s="16">
        <f>'Balance Sheet'!D13</f>
        <v>364.15</v>
      </c>
      <c r="E6" s="16">
        <f>'Balance Sheet'!E13</f>
        <v>565.57000000000005</v>
      </c>
      <c r="F6" s="16">
        <f>'Balance Sheet'!F13</f>
        <v>1994.4699999999998</v>
      </c>
      <c r="G6" s="16">
        <f>'Balance Sheet'!G13</f>
        <v>3490.79</v>
      </c>
    </row>
    <row r="7" spans="2:7" ht="18.75" x14ac:dyDescent="0.25">
      <c r="B7" s="15" t="str">
        <f>'Balance Sheet'!B9</f>
        <v>Net Worth</v>
      </c>
      <c r="C7" s="16">
        <f>'Balance Sheet'!C9</f>
        <v>24417.41</v>
      </c>
      <c r="D7" s="16">
        <f>'Balance Sheet'!D9</f>
        <v>26927.41</v>
      </c>
      <c r="E7" s="16">
        <f>'Balance Sheet'!E9</f>
        <v>28522.800000000003</v>
      </c>
      <c r="F7" s="16">
        <f>'Balance Sheet'!F9</f>
        <v>32320.780000000002</v>
      </c>
      <c r="G7" s="16">
        <f>'Balance Sheet'!G9</f>
        <v>40512.270000000004</v>
      </c>
    </row>
    <row r="8" spans="2:7" ht="18.75" x14ac:dyDescent="0.25">
      <c r="B8" s="17" t="s">
        <v>167</v>
      </c>
      <c r="C8" s="17">
        <f>ROUND(C6/ C7, 2)</f>
        <v>0.02</v>
      </c>
      <c r="D8" s="17">
        <f t="shared" ref="D8:G8" si="0">ROUND(D6/ D7, 2)</f>
        <v>0.01</v>
      </c>
      <c r="E8" s="17">
        <f t="shared" si="0"/>
        <v>0.02</v>
      </c>
      <c r="F8" s="17">
        <f t="shared" si="0"/>
        <v>0.06</v>
      </c>
      <c r="G8" s="17">
        <f t="shared" si="0"/>
        <v>0.09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70CFF-49EC-4077-9595-4AA5DFE3D59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12016.32</v>
      </c>
      <c r="D6" s="16">
        <f>'Balance Sheet'!D39</f>
        <v>12957.39</v>
      </c>
      <c r="E6" s="16">
        <f>'Balance Sheet'!E39</f>
        <v>12592.200000000003</v>
      </c>
      <c r="F6" s="16">
        <f>'Balance Sheet'!F39</f>
        <v>18348.11</v>
      </c>
      <c r="G6" s="16">
        <f>'Balance Sheet'!G39</f>
        <v>27541.86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3758.93</v>
      </c>
      <c r="D7" s="16">
        <f>'Balance Sheet'!D19</f>
        <v>3469.1899999999996</v>
      </c>
      <c r="E7" s="16">
        <f>'Balance Sheet'!E19</f>
        <v>3047.74</v>
      </c>
      <c r="F7" s="16">
        <f>'Balance Sheet'!F19</f>
        <v>5037.74</v>
      </c>
      <c r="G7" s="16">
        <f>'Balance Sheet'!G19</f>
        <v>6360.43</v>
      </c>
    </row>
    <row r="8" spans="2:7" ht="18.75" x14ac:dyDescent="0.25">
      <c r="B8" s="17" t="s">
        <v>169</v>
      </c>
      <c r="C8" s="17">
        <f>ROUND(C6/ C7, 2)</f>
        <v>3.2</v>
      </c>
      <c r="D8" s="17">
        <f t="shared" ref="D8:G8" si="0">ROUND(D6/ D7, 2)</f>
        <v>3.73</v>
      </c>
      <c r="E8" s="17">
        <f t="shared" si="0"/>
        <v>4.13</v>
      </c>
      <c r="F8" s="17">
        <f t="shared" si="0"/>
        <v>3.64</v>
      </c>
      <c r="G8" s="17">
        <f t="shared" si="0"/>
        <v>4.33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7B137-117A-48EC-ADFB-12B8881C27C9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12016.32</v>
      </c>
      <c r="D6" s="16">
        <f>'Balance Sheet'!D39</f>
        <v>12957.39</v>
      </c>
      <c r="E6" s="16">
        <f>'Balance Sheet'!E39</f>
        <v>12592.200000000003</v>
      </c>
      <c r="F6" s="16">
        <f>'Balance Sheet'!F39</f>
        <v>18348.11</v>
      </c>
      <c r="G6" s="16">
        <f>'Balance Sheet'!G39</f>
        <v>27541.86</v>
      </c>
    </row>
    <row r="7" spans="2:7" ht="18.75" x14ac:dyDescent="0.25">
      <c r="B7" s="15" t="str">
        <f>'Balance Sheet'!B36</f>
        <v>Inventories</v>
      </c>
      <c r="C7" s="16">
        <f>'Balance Sheet'!C36</f>
        <v>571.69000000000005</v>
      </c>
      <c r="D7" s="16">
        <f>'Balance Sheet'!D36</f>
        <v>666.17</v>
      </c>
      <c r="E7" s="16">
        <f>'Balance Sheet'!E36</f>
        <v>723.51</v>
      </c>
      <c r="F7" s="16">
        <f>'Balance Sheet'!F36</f>
        <v>921.72</v>
      </c>
      <c r="G7" s="16">
        <f>'Balance Sheet'!G36</f>
        <v>2164.9</v>
      </c>
    </row>
    <row r="8" spans="2:7" ht="18.75" x14ac:dyDescent="0.25">
      <c r="B8" s="15" t="str">
        <f>'Balance Sheet'!B19</f>
        <v>Total Current Liabilities</v>
      </c>
      <c r="C8" s="16">
        <f>'Balance Sheet'!C19</f>
        <v>3758.93</v>
      </c>
      <c r="D8" s="16">
        <f>'Balance Sheet'!D19</f>
        <v>3469.1899999999996</v>
      </c>
      <c r="E8" s="16">
        <f>'Balance Sheet'!E19</f>
        <v>3047.74</v>
      </c>
      <c r="F8" s="16">
        <f>'Balance Sheet'!F19</f>
        <v>5037.74</v>
      </c>
      <c r="G8" s="16">
        <f>'Balance Sheet'!G19</f>
        <v>6360.43</v>
      </c>
    </row>
    <row r="9" spans="2:7" ht="18.75" x14ac:dyDescent="0.25">
      <c r="B9" s="17" t="s">
        <v>171</v>
      </c>
      <c r="C9" s="17">
        <f>ROUND((C6-C7)/ C8, 2)</f>
        <v>3.04</v>
      </c>
      <c r="D9" s="17">
        <f t="shared" ref="D9:G9" si="0">ROUND((D6-D7)/ D8, 2)</f>
        <v>3.54</v>
      </c>
      <c r="E9" s="17">
        <f t="shared" si="0"/>
        <v>3.89</v>
      </c>
      <c r="F9" s="17">
        <f t="shared" si="0"/>
        <v>3.46</v>
      </c>
      <c r="G9" s="17">
        <f t="shared" si="0"/>
        <v>3.99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B5CC7-09EB-4B56-9CE1-A1A97C6155D9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11614.17</v>
      </c>
      <c r="D5" s="2">
        <v>12152.15</v>
      </c>
      <c r="E5" s="2">
        <v>11698.79</v>
      </c>
      <c r="F5" s="2">
        <v>15370.05</v>
      </c>
      <c r="G5" s="2">
        <v>25881.73</v>
      </c>
      <c r="H5" t="s">
        <v>1</v>
      </c>
    </row>
    <row r="6" spans="1:8" x14ac:dyDescent="0.25">
      <c r="A6" t="s">
        <v>98</v>
      </c>
      <c r="B6" t="s">
        <v>98</v>
      </c>
      <c r="C6">
        <v>0.01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11614.16</v>
      </c>
      <c r="D7" s="2">
        <v>12152.15</v>
      </c>
      <c r="E7" s="2">
        <v>11698.79</v>
      </c>
      <c r="F7" s="2">
        <v>15370.05</v>
      </c>
      <c r="G7" s="2">
        <v>25881.73</v>
      </c>
      <c r="H7" t="s">
        <v>1</v>
      </c>
    </row>
    <row r="8" spans="1:8" x14ac:dyDescent="0.25">
      <c r="B8" t="s">
        <v>58</v>
      </c>
      <c r="C8" s="2">
        <v>11614.9</v>
      </c>
      <c r="D8" s="2">
        <v>12152.67</v>
      </c>
      <c r="E8" s="2">
        <v>11699.22</v>
      </c>
      <c r="F8" s="2">
        <v>15370.06</v>
      </c>
      <c r="G8" s="2">
        <v>25881.73</v>
      </c>
      <c r="H8" t="s">
        <v>1</v>
      </c>
    </row>
    <row r="9" spans="1:8" x14ac:dyDescent="0.25">
      <c r="A9" t="s">
        <v>59</v>
      </c>
      <c r="B9" t="s">
        <v>59</v>
      </c>
      <c r="C9">
        <v>523.22</v>
      </c>
      <c r="D9">
        <v>588.96</v>
      </c>
      <c r="E9">
        <v>514.36</v>
      </c>
      <c r="F9">
        <v>351.6</v>
      </c>
      <c r="G9">
        <v>718.52</v>
      </c>
      <c r="H9" t="s">
        <v>1</v>
      </c>
    </row>
    <row r="10" spans="1:8" x14ac:dyDescent="0.25">
      <c r="B10" t="s">
        <v>60</v>
      </c>
      <c r="C10" s="2">
        <v>12138.12</v>
      </c>
      <c r="D10" s="2">
        <v>12741.63</v>
      </c>
      <c r="E10" s="2">
        <v>12213.58</v>
      </c>
      <c r="F10" s="2">
        <v>15721.66</v>
      </c>
      <c r="G10" s="2">
        <v>26600.25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386.9</v>
      </c>
      <c r="D12">
        <v>426.42</v>
      </c>
      <c r="E12">
        <v>394.36</v>
      </c>
      <c r="F12">
        <v>410.24</v>
      </c>
      <c r="G12">
        <v>106.95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2119.73</v>
      </c>
      <c r="D14" s="2">
        <v>2003.78</v>
      </c>
      <c r="E14" s="2">
        <v>2096.29</v>
      </c>
      <c r="F14" s="2">
        <v>2969.38</v>
      </c>
      <c r="G14" s="2">
        <v>0</v>
      </c>
      <c r="H14" t="s">
        <v>1</v>
      </c>
    </row>
    <row r="15" spans="1:8" x14ac:dyDescent="0.25">
      <c r="B15" t="s">
        <v>65</v>
      </c>
      <c r="C15" s="2">
        <v>-38.479999999999997</v>
      </c>
      <c r="D15">
        <v>-79.22</v>
      </c>
      <c r="E15">
        <v>-53.83</v>
      </c>
      <c r="F15">
        <v>-161.81</v>
      </c>
      <c r="G15">
        <v>-1200.5</v>
      </c>
      <c r="H15" t="s">
        <v>1</v>
      </c>
    </row>
    <row r="16" spans="1:8" x14ac:dyDescent="0.25">
      <c r="A16" t="s">
        <v>99</v>
      </c>
      <c r="B16" t="s">
        <v>66</v>
      </c>
      <c r="C16" s="2">
        <v>1049.23</v>
      </c>
      <c r="D16" s="2">
        <v>1039.4000000000001</v>
      </c>
      <c r="E16" s="2">
        <v>1049.3599999999999</v>
      </c>
      <c r="F16" s="2">
        <v>1085.24</v>
      </c>
      <c r="G16" s="2">
        <v>1337.07</v>
      </c>
      <c r="H16" t="s">
        <v>1</v>
      </c>
    </row>
    <row r="17" spans="1:8" x14ac:dyDescent="0.25">
      <c r="A17" t="s">
        <v>100</v>
      </c>
      <c r="B17" t="s">
        <v>67</v>
      </c>
      <c r="C17">
        <v>37.1</v>
      </c>
      <c r="D17">
        <v>40.32</v>
      </c>
      <c r="E17">
        <v>9.8800000000000008</v>
      </c>
      <c r="F17">
        <v>16.809999999999999</v>
      </c>
      <c r="G17">
        <v>39.06</v>
      </c>
      <c r="H17" t="s">
        <v>1</v>
      </c>
    </row>
    <row r="18" spans="1:8" x14ac:dyDescent="0.25">
      <c r="A18" t="s">
        <v>101</v>
      </c>
      <c r="B18" t="s">
        <v>68</v>
      </c>
      <c r="C18">
        <v>256.63</v>
      </c>
      <c r="D18">
        <v>279.04000000000002</v>
      </c>
      <c r="E18">
        <v>294.93</v>
      </c>
      <c r="F18">
        <v>228.54</v>
      </c>
      <c r="G18">
        <v>287.74</v>
      </c>
      <c r="H18" t="s">
        <v>1</v>
      </c>
    </row>
    <row r="19" spans="1:8" x14ac:dyDescent="0.25">
      <c r="A19" t="s">
        <v>99</v>
      </c>
      <c r="B19" t="s">
        <v>69</v>
      </c>
      <c r="C19" s="2">
        <v>2294.7399999999998</v>
      </c>
      <c r="D19" s="2">
        <v>1837.87</v>
      </c>
      <c r="E19" s="2">
        <v>2211.12</v>
      </c>
      <c r="F19" s="2">
        <v>2277.7399999999998</v>
      </c>
      <c r="G19" s="2">
        <v>13055.69</v>
      </c>
      <c r="H19" t="s">
        <v>1</v>
      </c>
    </row>
    <row r="20" spans="1:8" x14ac:dyDescent="0.25">
      <c r="B20" t="s">
        <v>70</v>
      </c>
      <c r="C20" s="2">
        <v>6105.85</v>
      </c>
      <c r="D20" s="2">
        <v>5547.61</v>
      </c>
      <c r="E20" s="2">
        <v>6002.11</v>
      </c>
      <c r="F20" s="2">
        <v>6826.14</v>
      </c>
      <c r="G20" s="2">
        <v>13626.01</v>
      </c>
      <c r="H20" t="s">
        <v>1</v>
      </c>
    </row>
    <row r="21" spans="1:8" x14ac:dyDescent="0.25">
      <c r="B21" t="s">
        <v>71</v>
      </c>
      <c r="C21" s="2">
        <v>6032.27</v>
      </c>
      <c r="D21" s="2">
        <v>7194.02</v>
      </c>
      <c r="E21" s="2">
        <v>6211.47</v>
      </c>
      <c r="F21" s="2">
        <v>8895.52</v>
      </c>
      <c r="G21" s="2">
        <v>12974.24</v>
      </c>
      <c r="H21" t="s">
        <v>1</v>
      </c>
    </row>
    <row r="22" spans="1:8" x14ac:dyDescent="0.25">
      <c r="A22" t="s">
        <v>102</v>
      </c>
      <c r="B22" t="s">
        <v>72</v>
      </c>
      <c r="C22">
        <v>144.30000000000001</v>
      </c>
      <c r="D22">
        <v>0</v>
      </c>
      <c r="E22">
        <v>-96.44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6176.57</v>
      </c>
      <c r="D23" s="2">
        <v>7194.02</v>
      </c>
      <c r="E23" s="2">
        <v>6115.03</v>
      </c>
      <c r="F23" s="2">
        <v>8895.52</v>
      </c>
      <c r="G23" s="2">
        <v>12974.24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2141.62</v>
      </c>
      <c r="D25" s="2">
        <v>2752.7</v>
      </c>
      <c r="E25" s="2">
        <v>1555.59</v>
      </c>
      <c r="F25" s="2">
        <v>2316.46</v>
      </c>
      <c r="G25" s="2">
        <v>3582.25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67.66</v>
      </c>
      <c r="D27">
        <v>-197.02</v>
      </c>
      <c r="E27">
        <v>185.66</v>
      </c>
      <c r="F27">
        <v>-11.21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2373.34</v>
      </c>
      <c r="D29" s="2">
        <v>2556.5300000000002</v>
      </c>
      <c r="E29" s="2">
        <v>2512.7199999999998</v>
      </c>
      <c r="F29" s="2">
        <v>2648.45</v>
      </c>
      <c r="G29" s="2">
        <v>3582.25</v>
      </c>
      <c r="H29" t="s">
        <v>1</v>
      </c>
    </row>
    <row r="30" spans="1:8" x14ac:dyDescent="0.25">
      <c r="B30" t="s">
        <v>80</v>
      </c>
      <c r="C30" s="2">
        <v>3803.23</v>
      </c>
      <c r="D30" s="2">
        <v>4637.49</v>
      </c>
      <c r="E30" s="2">
        <v>3602.31</v>
      </c>
      <c r="F30" s="2">
        <v>6247.07</v>
      </c>
      <c r="G30" s="2">
        <v>9391.99</v>
      </c>
      <c r="H30" t="s">
        <v>1</v>
      </c>
    </row>
    <row r="31" spans="1:8" x14ac:dyDescent="0.25">
      <c r="B31" t="s">
        <v>81</v>
      </c>
      <c r="C31" s="2">
        <v>3803.23</v>
      </c>
      <c r="D31" s="2">
        <v>4637.49</v>
      </c>
      <c r="E31" s="2">
        <v>3602.31</v>
      </c>
      <c r="F31" s="2">
        <v>6247.07</v>
      </c>
      <c r="G31" s="2">
        <v>9391.31</v>
      </c>
      <c r="H31" t="s">
        <v>1</v>
      </c>
    </row>
    <row r="32" spans="1:8" x14ac:dyDescent="0.25">
      <c r="B32" t="s">
        <v>82</v>
      </c>
      <c r="C32" s="2">
        <v>3802.79</v>
      </c>
      <c r="D32" s="2">
        <v>4637.07</v>
      </c>
      <c r="E32" s="2">
        <v>3601.52</v>
      </c>
      <c r="F32" s="2">
        <v>6247.47</v>
      </c>
      <c r="G32" s="2">
        <v>9391.31</v>
      </c>
      <c r="H32" t="s">
        <v>1</v>
      </c>
    </row>
    <row r="33" spans="1:8" x14ac:dyDescent="0.25">
      <c r="B33" t="s">
        <v>10</v>
      </c>
      <c r="C33">
        <v>0.94</v>
      </c>
      <c r="D33">
        <v>0.89</v>
      </c>
      <c r="E33">
        <v>0.33</v>
      </c>
      <c r="F33">
        <v>0.37</v>
      </c>
      <c r="G33">
        <v>0.55000000000000004</v>
      </c>
      <c r="H33" t="s">
        <v>1</v>
      </c>
    </row>
    <row r="34" spans="1:8" x14ac:dyDescent="0.25">
      <c r="B34" t="s">
        <v>83</v>
      </c>
      <c r="C34" s="2">
        <v>3808.46</v>
      </c>
      <c r="D34" s="2">
        <v>4618.84</v>
      </c>
      <c r="E34" s="2">
        <v>3573.29</v>
      </c>
      <c r="F34" s="2">
        <v>6277.01</v>
      </c>
      <c r="G34" s="2">
        <v>9379.6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12</v>
      </c>
      <c r="D37">
        <v>15</v>
      </c>
      <c r="E37">
        <v>12</v>
      </c>
      <c r="F37">
        <v>21</v>
      </c>
      <c r="G37">
        <v>32</v>
      </c>
      <c r="H37" t="s">
        <v>1</v>
      </c>
    </row>
    <row r="38" spans="1:8" x14ac:dyDescent="0.25">
      <c r="B38" t="s">
        <v>86</v>
      </c>
      <c r="C38">
        <v>12</v>
      </c>
      <c r="D38">
        <v>15</v>
      </c>
      <c r="E38">
        <v>12</v>
      </c>
      <c r="F38">
        <v>21</v>
      </c>
      <c r="G38">
        <v>32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1676.86</v>
      </c>
      <c r="D40" s="2">
        <v>1690.14</v>
      </c>
      <c r="E40" s="2">
        <v>1619.72</v>
      </c>
      <c r="F40" s="2">
        <v>2274.15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341.37</v>
      </c>
      <c r="D41">
        <v>347.41</v>
      </c>
      <c r="E41">
        <v>332.94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4E3C1-CB47-41FC-9022-17051C03DC9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6030.1499999999987</v>
      </c>
      <c r="D6" s="16">
        <f>'Income Statement'!D19</f>
        <v>7154.6000000000013</v>
      </c>
      <c r="E6" s="16">
        <f>'Income Statement'!E19</f>
        <v>6167.0900000000011</v>
      </c>
      <c r="F6" s="16">
        <f>'Income Statement'!F19</f>
        <v>8750.5099999999984</v>
      </c>
      <c r="G6" s="16">
        <f>'Income Statement'!G19</f>
        <v>11812.8</v>
      </c>
    </row>
    <row r="7" spans="2:7" ht="18.75" x14ac:dyDescent="0.25">
      <c r="B7" s="15" t="str">
        <f>'Income Statement'!B20</f>
        <v>Finance Costs</v>
      </c>
      <c r="C7" s="16">
        <f>'Income Statement'!C20</f>
        <v>37.1</v>
      </c>
      <c r="D7" s="16">
        <f>'Income Statement'!D20</f>
        <v>40.32</v>
      </c>
      <c r="E7" s="16">
        <f>'Income Statement'!E20</f>
        <v>9.8800000000000008</v>
      </c>
      <c r="F7" s="16">
        <f>'Income Statement'!F20</f>
        <v>16.809999999999999</v>
      </c>
      <c r="G7" s="16">
        <f>'Income Statement'!G20</f>
        <v>39.06</v>
      </c>
    </row>
    <row r="8" spans="2:7" ht="18.75" x14ac:dyDescent="0.25">
      <c r="B8" s="17" t="s">
        <v>173</v>
      </c>
      <c r="C8" s="17">
        <f>ROUND(C6/C7, 2)</f>
        <v>162.54</v>
      </c>
      <c r="D8" s="17">
        <f t="shared" ref="D8:G8" si="0">ROUND(D6/D7, 2)</f>
        <v>177.45</v>
      </c>
      <c r="E8" s="17">
        <f t="shared" si="0"/>
        <v>624.20000000000005</v>
      </c>
      <c r="F8" s="17">
        <f t="shared" si="0"/>
        <v>520.54999999999995</v>
      </c>
      <c r="G8" s="17">
        <f t="shared" si="0"/>
        <v>302.43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3D255-5DA0-4CAC-AB77-560772B255D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386.9</v>
      </c>
      <c r="D6" s="16">
        <f>'Income Statement'!D11</f>
        <v>426.42</v>
      </c>
      <c r="E6" s="16">
        <f>'Income Statement'!E11</f>
        <v>394.36</v>
      </c>
      <c r="F6" s="16">
        <f>'Income Statement'!F11</f>
        <v>410.24</v>
      </c>
      <c r="G6" s="16">
        <f>'Income Statement'!G11</f>
        <v>106.95</v>
      </c>
    </row>
    <row r="7" spans="2:7" ht="18.75" x14ac:dyDescent="0.25">
      <c r="B7" s="15" t="str">
        <f>'Income Statement'!B7</f>
        <v>Net Sales</v>
      </c>
      <c r="C7" s="16">
        <f>'Income Statement'!C7</f>
        <v>11614.16</v>
      </c>
      <c r="D7" s="16">
        <f>'Income Statement'!D7</f>
        <v>12152.15</v>
      </c>
      <c r="E7" s="16">
        <f>'Income Statement'!E7</f>
        <v>11698.79</v>
      </c>
      <c r="F7" s="16">
        <f>'Income Statement'!F7</f>
        <v>15370.05</v>
      </c>
      <c r="G7" s="16">
        <f>'Income Statement'!G7</f>
        <v>25881.73</v>
      </c>
    </row>
    <row r="8" spans="2:7" ht="18.75" x14ac:dyDescent="0.25">
      <c r="B8" s="17" t="s">
        <v>175</v>
      </c>
      <c r="C8" s="17">
        <f>ROUND(C6/C7, 2)</f>
        <v>0.03</v>
      </c>
      <c r="D8" s="17">
        <f t="shared" ref="D8:G8" si="0">ROUND(D6/D7, 2)</f>
        <v>0.04</v>
      </c>
      <c r="E8" s="17">
        <f t="shared" si="0"/>
        <v>0.03</v>
      </c>
      <c r="F8" s="17">
        <f t="shared" si="0"/>
        <v>0.03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FC2E5-7494-470E-83C9-25F6BA3DB74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2.28515625" bestFit="1" customWidth="1"/>
    <col min="7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5460.98</v>
      </c>
      <c r="D6" s="16">
        <f>'Balance Sheet'!D38</f>
        <v>5875.73</v>
      </c>
      <c r="E6" s="16">
        <f>'Balance Sheet'!E38</f>
        <v>3984.6900000000019</v>
      </c>
      <c r="F6" s="16">
        <f>'Balance Sheet'!F38</f>
        <v>9246.3700000000008</v>
      </c>
      <c r="G6" s="16">
        <f>'Balance Sheet'!G38</f>
        <v>14687.799999999997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386.9</v>
      </c>
      <c r="D7" s="16">
        <f>'Income Statement'!D11</f>
        <v>426.42</v>
      </c>
      <c r="E7" s="16">
        <f>'Income Statement'!E11</f>
        <v>394.36</v>
      </c>
      <c r="F7" s="16">
        <f>'Income Statement'!F11</f>
        <v>410.24</v>
      </c>
      <c r="G7" s="16">
        <f>'Income Statement'!G11</f>
        <v>106.95</v>
      </c>
    </row>
    <row r="8" spans="2:7" ht="18.75" x14ac:dyDescent="0.25">
      <c r="B8" s="17" t="s">
        <v>177</v>
      </c>
      <c r="C8" s="17">
        <f>ROUND(C6/C7*365, 2)</f>
        <v>5151.87</v>
      </c>
      <c r="D8" s="17">
        <f t="shared" ref="D8:G8" si="0">ROUND(D6/D7*365, 2)</f>
        <v>5029.41</v>
      </c>
      <c r="E8" s="17">
        <f t="shared" si="0"/>
        <v>3688.03</v>
      </c>
      <c r="F8" s="17">
        <f t="shared" si="0"/>
        <v>8226.7099999999991</v>
      </c>
      <c r="G8" s="17">
        <f t="shared" si="0"/>
        <v>50126.67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D8C115-A88A-45F7-808F-8ABF6654180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6" width="12.285156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5460.98</v>
      </c>
      <c r="D6" s="16">
        <f>'Balance Sheet'!D38</f>
        <v>5875.73</v>
      </c>
      <c r="E6" s="16">
        <f>'Balance Sheet'!E38</f>
        <v>3984.6900000000019</v>
      </c>
      <c r="F6" s="16">
        <f>'Balance Sheet'!F38</f>
        <v>9246.3700000000008</v>
      </c>
      <c r="G6" s="16">
        <f>'Balance Sheet'!G38</f>
        <v>14687.799999999997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5460.98</v>
      </c>
      <c r="D8" s="17">
        <f t="shared" ref="D8:G8" si="0">ROUND(D6/D7*365, 2)</f>
        <v>5875.73</v>
      </c>
      <c r="E8" s="17">
        <f t="shared" si="0"/>
        <v>3984.69</v>
      </c>
      <c r="F8" s="17">
        <f t="shared" si="0"/>
        <v>9246.3700000000008</v>
      </c>
      <c r="G8" s="17">
        <f t="shared" si="0"/>
        <v>14687.8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FAF45-36AE-434B-ABD4-6EFC860630D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Sheet'!B40</f>
        <v>Total Assets</v>
      </c>
      <c r="C7" s="16">
        <f>'Balance Sheet'!C40</f>
        <v>28691.32</v>
      </c>
      <c r="D7" s="16">
        <f>'Balance Sheet'!D40</f>
        <v>30774.639999999999</v>
      </c>
      <c r="E7" s="16">
        <f>'Balance Sheet'!E40</f>
        <v>32144.160000000003</v>
      </c>
      <c r="F7" s="16">
        <f>'Balance Sheet'!F40</f>
        <v>39366.53</v>
      </c>
      <c r="G7" s="16">
        <f>'Balance Sheet'!G40</f>
        <v>50376.94</v>
      </c>
    </row>
    <row r="8" spans="2:7" ht="18.75" x14ac:dyDescent="0.25">
      <c r="B8" s="17" t="s">
        <v>182</v>
      </c>
      <c r="C8" s="17">
        <f>ROUND(C6/C7, 2)</f>
        <v>0.4</v>
      </c>
      <c r="D8" s="17">
        <f t="shared" ref="D8:G8" si="0">ROUND(D6/D7, 2)</f>
        <v>0.39</v>
      </c>
      <c r="E8" s="17">
        <f t="shared" si="0"/>
        <v>0.36</v>
      </c>
      <c r="F8" s="17">
        <f t="shared" si="0"/>
        <v>0.39</v>
      </c>
      <c r="G8" s="17">
        <f t="shared" si="0"/>
        <v>0.51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5DFDF-1DE6-4A30-9640-3DD8B2614A5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Sheet'!B36</f>
        <v>Inventories</v>
      </c>
      <c r="C7" s="16">
        <f>'Balance Sheet'!C36</f>
        <v>571.69000000000005</v>
      </c>
      <c r="D7" s="16">
        <f>'Balance Sheet'!D36</f>
        <v>666.17</v>
      </c>
      <c r="E7" s="16">
        <f>'Balance Sheet'!E36</f>
        <v>723.51</v>
      </c>
      <c r="F7" s="16">
        <f>'Balance Sheet'!F36</f>
        <v>921.72</v>
      </c>
      <c r="G7" s="16">
        <f>'Balance Sheet'!G36</f>
        <v>2164.9</v>
      </c>
    </row>
    <row r="8" spans="2:7" ht="18.75" x14ac:dyDescent="0.25">
      <c r="B8" s="17" t="s">
        <v>184</v>
      </c>
      <c r="C8" s="17">
        <f>ROUND(C6/C7, 2)</f>
        <v>20.32</v>
      </c>
      <c r="D8" s="17">
        <f t="shared" ref="D8:G8" si="0">ROUND(D6/D7, 2)</f>
        <v>18.239999999999998</v>
      </c>
      <c r="E8" s="17">
        <f t="shared" si="0"/>
        <v>16.170000000000002</v>
      </c>
      <c r="F8" s="17">
        <f t="shared" si="0"/>
        <v>16.68</v>
      </c>
      <c r="G8" s="17">
        <f t="shared" si="0"/>
        <v>11.96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5628A-DB1D-4AFD-B80F-2FFB19329F3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Sheet'!B37</f>
        <v>Trade Receivables</v>
      </c>
      <c r="C7" s="16">
        <f>'Balance Sheet'!C37</f>
        <v>1472.74</v>
      </c>
      <c r="D7" s="16">
        <f>'Balance Sheet'!D37</f>
        <v>1424.51</v>
      </c>
      <c r="E7" s="16">
        <f>'Balance Sheet'!E37</f>
        <v>2223.71</v>
      </c>
      <c r="F7" s="16">
        <f>'Balance Sheet'!F37</f>
        <v>2139.89</v>
      </c>
      <c r="G7" s="16">
        <f>'Balance Sheet'!G37</f>
        <v>2954.3</v>
      </c>
    </row>
    <row r="8" spans="2:7" ht="18.75" x14ac:dyDescent="0.25">
      <c r="B8" s="17" t="s">
        <v>186</v>
      </c>
      <c r="C8" s="17">
        <f>ROUND(C6/C7, 2)</f>
        <v>7.89</v>
      </c>
      <c r="D8" s="17">
        <f t="shared" ref="D8:G8" si="0">ROUND(D6/D7, 2)</f>
        <v>8.5299999999999994</v>
      </c>
      <c r="E8" s="17">
        <f t="shared" si="0"/>
        <v>5.26</v>
      </c>
      <c r="F8" s="17">
        <f t="shared" si="0"/>
        <v>7.18</v>
      </c>
      <c r="G8" s="17">
        <f t="shared" si="0"/>
        <v>8.76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B0394-5B78-4443-8C08-CC1F66C12196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Sheet'!B23</f>
        <v>Tangible Assets</v>
      </c>
      <c r="C7" s="16">
        <f>'Balance Sheet'!C23</f>
        <v>3149.61</v>
      </c>
      <c r="D7" s="16">
        <f>'Balance Sheet'!D23</f>
        <v>3198.51</v>
      </c>
      <c r="E7" s="16">
        <f>'Balance Sheet'!E23</f>
        <v>3260.95</v>
      </c>
      <c r="F7" s="16">
        <f>'Balance Sheet'!F23</f>
        <v>3320.95</v>
      </c>
      <c r="G7" s="16">
        <f>'Balance Sheet'!G23</f>
        <v>23030.38</v>
      </c>
    </row>
    <row r="8" spans="2:7" ht="18.75" x14ac:dyDescent="0.25">
      <c r="B8" s="17" t="s">
        <v>188</v>
      </c>
      <c r="C8" s="17">
        <f>ROUND(C6/C7, 2)</f>
        <v>3.69</v>
      </c>
      <c r="D8" s="17">
        <f t="shared" ref="D8:G8" si="0">ROUND(D6/D7, 2)</f>
        <v>3.8</v>
      </c>
      <c r="E8" s="17">
        <f t="shared" si="0"/>
        <v>3.59</v>
      </c>
      <c r="F8" s="17">
        <f t="shared" si="0"/>
        <v>4.63</v>
      </c>
      <c r="G8" s="17">
        <f t="shared" si="0"/>
        <v>1.1200000000000001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E45AF4-3DE2-4D04-9588-D2648758D89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386.9</v>
      </c>
      <c r="D6" s="16">
        <f>'Income Statement'!D11</f>
        <v>426.42</v>
      </c>
      <c r="E6" s="16">
        <f>'Income Statement'!E11</f>
        <v>394.36</v>
      </c>
      <c r="F6" s="16">
        <f>'Income Statement'!F11</f>
        <v>410.24</v>
      </c>
      <c r="G6" s="16">
        <f>'Income Statement'!G11</f>
        <v>106.95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3758.93</v>
      </c>
      <c r="D7" s="16">
        <f>'Balance Sheet'!D19</f>
        <v>3469.1899999999996</v>
      </c>
      <c r="E7" s="16">
        <f>'Balance Sheet'!E19</f>
        <v>3047.74</v>
      </c>
      <c r="F7" s="16">
        <f>'Balance Sheet'!F19</f>
        <v>5037.74</v>
      </c>
      <c r="G7" s="16">
        <f>'Balance Sheet'!G19</f>
        <v>6360.43</v>
      </c>
    </row>
    <row r="8" spans="2:7" ht="18.75" x14ac:dyDescent="0.25">
      <c r="B8" s="17" t="s">
        <v>190</v>
      </c>
      <c r="C8" s="17">
        <f>ROUND(C6/C7, 2)</f>
        <v>0.1</v>
      </c>
      <c r="D8" s="17">
        <f t="shared" ref="D8:G8" si="0">ROUND(D6/D7, 2)</f>
        <v>0.12</v>
      </c>
      <c r="E8" s="17">
        <f t="shared" si="0"/>
        <v>0.13</v>
      </c>
      <c r="F8" s="17">
        <f t="shared" si="0"/>
        <v>0.08</v>
      </c>
      <c r="G8" s="17">
        <f t="shared" si="0"/>
        <v>0.02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92297-BCD1-4788-86E0-0F1C7C6904C8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Sheet'!B36</f>
        <v>Inventories</v>
      </c>
      <c r="C7" s="16">
        <f>'Balance Sheet'!C36</f>
        <v>571.69000000000005</v>
      </c>
      <c r="D7" s="16">
        <f>'Balance Sheet'!D36</f>
        <v>666.17</v>
      </c>
      <c r="E7" s="16">
        <f>'Balance Sheet'!E36</f>
        <v>723.51</v>
      </c>
      <c r="F7" s="16">
        <f>'Balance Sheet'!F36</f>
        <v>921.72</v>
      </c>
      <c r="G7" s="16">
        <f>'Balance Sheet'!G36</f>
        <v>2164.9</v>
      </c>
    </row>
    <row r="8" spans="2:7" ht="18.75" x14ac:dyDescent="0.25">
      <c r="B8" s="17" t="s">
        <v>192</v>
      </c>
      <c r="C8" s="17">
        <f>ROUND(365/C6*C7, 2)</f>
        <v>17.97</v>
      </c>
      <c r="D8" s="17">
        <f t="shared" ref="D8:G8" si="0">ROUND(365/D6*D7, 2)</f>
        <v>20.010000000000002</v>
      </c>
      <c r="E8" s="17">
        <f t="shared" si="0"/>
        <v>22.57</v>
      </c>
      <c r="F8" s="17">
        <f t="shared" si="0"/>
        <v>21.89</v>
      </c>
      <c r="G8" s="17">
        <f t="shared" si="0"/>
        <v>30.53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6407C-99C5-43E3-84E4-9AFD05A27442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4" width="15.42578125" bestFit="1" customWidth="1"/>
    <col min="5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11614.17</v>
      </c>
      <c r="D5" s="5">
        <v>12152.15</v>
      </c>
      <c r="E5" s="5">
        <v>11698.79</v>
      </c>
      <c r="F5" s="5">
        <v>15370.05</v>
      </c>
      <c r="G5" s="5">
        <v>25881.73</v>
      </c>
    </row>
    <row r="6" spans="2:7" ht="18.75" x14ac:dyDescent="0.25">
      <c r="B6" s="8" t="s">
        <v>98</v>
      </c>
      <c r="C6" s="4">
        <v>0.01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11614.16</v>
      </c>
      <c r="D7" s="7">
        <f t="shared" ref="D7:G7" si="0">D5 - D6</f>
        <v>12152.15</v>
      </c>
      <c r="E7" s="7">
        <f t="shared" si="0"/>
        <v>11698.79</v>
      </c>
      <c r="F7" s="7">
        <f t="shared" si="0"/>
        <v>15370.05</v>
      </c>
      <c r="G7" s="7">
        <f t="shared" si="0"/>
        <v>25881.73</v>
      </c>
    </row>
    <row r="8" spans="2:7" ht="18.75" x14ac:dyDescent="0.25">
      <c r="B8" s="8" t="s">
        <v>59</v>
      </c>
      <c r="C8" s="4">
        <v>523.22</v>
      </c>
      <c r="D8" s="4">
        <v>588.96</v>
      </c>
      <c r="E8" s="4">
        <v>514.36</v>
      </c>
      <c r="F8" s="4">
        <v>351.6</v>
      </c>
      <c r="G8" s="4">
        <v>718.52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12137.38</v>
      </c>
      <c r="D10" s="7">
        <f t="shared" ref="D10:G10" si="1">SUM(D7:D9)</f>
        <v>12741.11</v>
      </c>
      <c r="E10" s="7">
        <f t="shared" si="1"/>
        <v>12213.150000000001</v>
      </c>
      <c r="F10" s="7">
        <f t="shared" si="1"/>
        <v>15721.65</v>
      </c>
      <c r="G10" s="7">
        <f t="shared" si="1"/>
        <v>26600.25</v>
      </c>
    </row>
    <row r="11" spans="2:7" ht="18.75" x14ac:dyDescent="0.25">
      <c r="B11" s="8" t="s">
        <v>62</v>
      </c>
      <c r="C11" s="4">
        <v>386.9</v>
      </c>
      <c r="D11" s="4">
        <v>426.42</v>
      </c>
      <c r="E11" s="4">
        <v>394.36</v>
      </c>
      <c r="F11" s="4">
        <v>410.24</v>
      </c>
      <c r="G11" s="4">
        <v>106.95</v>
      </c>
    </row>
    <row r="12" spans="2:7" ht="18.75" x14ac:dyDescent="0.25">
      <c r="B12" s="8" t="s">
        <v>64</v>
      </c>
      <c r="C12" s="4">
        <v>2119.73</v>
      </c>
      <c r="D12" s="5">
        <v>2003.78</v>
      </c>
      <c r="E12" s="5">
        <v>2096.29</v>
      </c>
      <c r="F12" s="5">
        <v>2969.38</v>
      </c>
      <c r="G12" s="5">
        <v>0</v>
      </c>
    </row>
    <row r="13" spans="2:7" ht="18.75" x14ac:dyDescent="0.25">
      <c r="B13" s="8" t="s">
        <v>66</v>
      </c>
      <c r="C13" s="5">
        <v>1049.23</v>
      </c>
      <c r="D13" s="5">
        <v>1039.4000000000001</v>
      </c>
      <c r="E13" s="5">
        <v>1049.3599999999999</v>
      </c>
      <c r="F13" s="5">
        <v>1085.24</v>
      </c>
      <c r="G13" s="5">
        <v>1337.07</v>
      </c>
    </row>
    <row r="14" spans="2:7" ht="18.75" x14ac:dyDescent="0.25">
      <c r="B14" s="8" t="s">
        <v>69</v>
      </c>
      <c r="C14" s="5">
        <v>2294.7399999999998</v>
      </c>
      <c r="D14" s="5">
        <v>1837.87</v>
      </c>
      <c r="E14" s="5">
        <v>2211.12</v>
      </c>
      <c r="F14" s="5">
        <v>2277.7399999999998</v>
      </c>
      <c r="G14" s="5">
        <v>13055.69</v>
      </c>
    </row>
    <row r="15" spans="2:7" ht="18.75" x14ac:dyDescent="0.25">
      <c r="B15" s="9" t="s">
        <v>108</v>
      </c>
      <c r="C15" s="7">
        <f>C11+C12+C13+C14</f>
        <v>5850.6</v>
      </c>
      <c r="D15" s="7">
        <f t="shared" ref="D15:G15" si="2">D11+D12+D13+D14</f>
        <v>5307.4699999999993</v>
      </c>
      <c r="E15" s="7">
        <f t="shared" si="2"/>
        <v>5751.13</v>
      </c>
      <c r="F15" s="7">
        <f t="shared" si="2"/>
        <v>6742.5999999999995</v>
      </c>
      <c r="G15" s="7">
        <f t="shared" si="2"/>
        <v>14499.710000000001</v>
      </c>
    </row>
    <row r="16" spans="2:7" ht="18.75" x14ac:dyDescent="0.25">
      <c r="B16" s="9" t="s">
        <v>109</v>
      </c>
      <c r="C16" s="7">
        <f xml:space="preserve"> C10-C15-C8</f>
        <v>5763.5599999999986</v>
      </c>
      <c r="D16" s="7">
        <f t="shared" ref="D16:G16" si="3" xml:space="preserve"> D10-D15-D8</f>
        <v>6844.6800000000012</v>
      </c>
      <c r="E16" s="7">
        <f t="shared" si="3"/>
        <v>5947.6600000000017</v>
      </c>
      <c r="F16" s="7">
        <f t="shared" si="3"/>
        <v>8627.4499999999989</v>
      </c>
      <c r="G16" s="7">
        <f t="shared" si="3"/>
        <v>11382.019999999999</v>
      </c>
    </row>
    <row r="17" spans="2:7" ht="18.75" x14ac:dyDescent="0.25">
      <c r="B17" s="9" t="s">
        <v>110</v>
      </c>
      <c r="C17" s="7">
        <f xml:space="preserve"> C16+C8</f>
        <v>6286.7799999999988</v>
      </c>
      <c r="D17" s="7">
        <f t="shared" ref="D17:G17" si="4" xml:space="preserve"> D16+D8</f>
        <v>7433.6400000000012</v>
      </c>
      <c r="E17" s="7">
        <f t="shared" si="4"/>
        <v>6462.0200000000013</v>
      </c>
      <c r="F17" s="7">
        <f t="shared" si="4"/>
        <v>8979.0499999999993</v>
      </c>
      <c r="G17" s="7">
        <f t="shared" si="4"/>
        <v>12100.539999999999</v>
      </c>
    </row>
    <row r="18" spans="2:7" ht="18.75" x14ac:dyDescent="0.25">
      <c r="B18" s="8" t="s">
        <v>68</v>
      </c>
      <c r="C18" s="4">
        <v>256.63</v>
      </c>
      <c r="D18" s="4">
        <v>279.04000000000002</v>
      </c>
      <c r="E18" s="4">
        <v>294.93</v>
      </c>
      <c r="F18" s="4">
        <v>228.54</v>
      </c>
      <c r="G18" s="4">
        <v>287.74</v>
      </c>
    </row>
    <row r="19" spans="2:7" ht="18.75" x14ac:dyDescent="0.25">
      <c r="B19" s="9" t="s">
        <v>111</v>
      </c>
      <c r="C19" s="7">
        <f xml:space="preserve"> C17-C18</f>
        <v>6030.1499999999987</v>
      </c>
      <c r="D19" s="7">
        <f t="shared" ref="D19:G19" si="5" xml:space="preserve"> D17-D18</f>
        <v>7154.6000000000013</v>
      </c>
      <c r="E19" s="7">
        <f t="shared" si="5"/>
        <v>6167.0900000000011</v>
      </c>
      <c r="F19" s="7">
        <f t="shared" si="5"/>
        <v>8750.5099999999984</v>
      </c>
      <c r="G19" s="7">
        <f t="shared" si="5"/>
        <v>11812.8</v>
      </c>
    </row>
    <row r="20" spans="2:7" ht="18.75" x14ac:dyDescent="0.25">
      <c r="B20" s="8" t="s">
        <v>67</v>
      </c>
      <c r="C20" s="4">
        <v>37.1</v>
      </c>
      <c r="D20" s="4">
        <v>40.32</v>
      </c>
      <c r="E20" s="4">
        <v>9.8800000000000008</v>
      </c>
      <c r="F20" s="4">
        <v>16.809999999999999</v>
      </c>
      <c r="G20" s="4">
        <v>39.06</v>
      </c>
    </row>
    <row r="21" spans="2:7" ht="18.75" x14ac:dyDescent="0.25">
      <c r="B21" s="9" t="s">
        <v>112</v>
      </c>
      <c r="C21" s="7">
        <f xml:space="preserve"> C19-C20</f>
        <v>5993.0499999999984</v>
      </c>
      <c r="D21" s="7">
        <f t="shared" ref="D21:G21" si="6" xml:space="preserve"> D19-D20</f>
        <v>7114.2800000000016</v>
      </c>
      <c r="E21" s="7">
        <f t="shared" si="6"/>
        <v>6157.2100000000009</v>
      </c>
      <c r="F21" s="7">
        <f t="shared" si="6"/>
        <v>8733.6999999999989</v>
      </c>
      <c r="G21" s="7">
        <f t="shared" si="6"/>
        <v>11773.74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5993.0499999999984</v>
      </c>
      <c r="D23" s="7">
        <f t="shared" ref="D23:G23" si="7" xml:space="preserve"> D21+D22</f>
        <v>7114.2800000000016</v>
      </c>
      <c r="E23" s="7">
        <f t="shared" si="7"/>
        <v>6157.2100000000009</v>
      </c>
      <c r="F23" s="7">
        <f t="shared" si="7"/>
        <v>8733.6999999999989</v>
      </c>
      <c r="G23" s="7">
        <f t="shared" si="7"/>
        <v>11773.74</v>
      </c>
    </row>
    <row r="24" spans="2:7" ht="18.75" x14ac:dyDescent="0.25">
      <c r="B24" s="8" t="s">
        <v>72</v>
      </c>
      <c r="C24" s="4">
        <v>144.30000000000001</v>
      </c>
      <c r="D24" s="4">
        <v>0</v>
      </c>
      <c r="E24" s="4">
        <v>-96.44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6137.3499999999985</v>
      </c>
      <c r="D25" s="7">
        <f t="shared" ref="D25:G25" si="8" xml:space="preserve"> D23+D24</f>
        <v>7114.2800000000016</v>
      </c>
      <c r="E25" s="7">
        <f t="shared" si="8"/>
        <v>6060.7700000000013</v>
      </c>
      <c r="F25" s="7">
        <f t="shared" si="8"/>
        <v>8733.6999999999989</v>
      </c>
      <c r="G25" s="7">
        <f t="shared" si="8"/>
        <v>11773.74</v>
      </c>
    </row>
    <row r="26" spans="2:7" ht="18.75" x14ac:dyDescent="0.25">
      <c r="B26" s="8" t="s">
        <v>79</v>
      </c>
      <c r="C26" s="5">
        <v>2373.34</v>
      </c>
      <c r="D26" s="5">
        <v>2556.5300000000002</v>
      </c>
      <c r="E26" s="5">
        <v>2512.7199999999998</v>
      </c>
      <c r="F26" s="5">
        <v>2648.45</v>
      </c>
      <c r="G26" s="5">
        <v>3582.25</v>
      </c>
    </row>
    <row r="27" spans="2:7" ht="18.75" x14ac:dyDescent="0.25">
      <c r="B27" s="9" t="s">
        <v>116</v>
      </c>
      <c r="C27" s="7">
        <f xml:space="preserve"> C25-C26</f>
        <v>3764.0099999999984</v>
      </c>
      <c r="D27" s="7">
        <f t="shared" ref="D27:G27" si="9" xml:space="preserve"> D25-D26</f>
        <v>4557.7500000000018</v>
      </c>
      <c r="E27" s="7">
        <f t="shared" si="9"/>
        <v>3548.0500000000015</v>
      </c>
      <c r="F27" s="7">
        <f t="shared" si="9"/>
        <v>6085.2499999999991</v>
      </c>
      <c r="G27" s="7">
        <f t="shared" si="9"/>
        <v>8191.49</v>
      </c>
    </row>
    <row r="28" spans="2:7" ht="18.75" x14ac:dyDescent="0.25">
      <c r="B28" s="8" t="s">
        <v>88</v>
      </c>
      <c r="C28" s="4">
        <v>1676.86</v>
      </c>
      <c r="D28" s="5">
        <v>1690.14</v>
      </c>
      <c r="E28" s="5">
        <v>1619.72</v>
      </c>
      <c r="F28" s="5">
        <v>2274.15</v>
      </c>
      <c r="G28" s="5">
        <v>0</v>
      </c>
    </row>
    <row r="29" spans="2:7" ht="18.75" x14ac:dyDescent="0.25">
      <c r="B29" s="8" t="s">
        <v>89</v>
      </c>
      <c r="C29" s="4">
        <v>341.37</v>
      </c>
      <c r="D29" s="4">
        <v>347.41</v>
      </c>
      <c r="E29" s="4">
        <v>332.94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1745.7799999999988</v>
      </c>
      <c r="D30" s="7">
        <f t="shared" ref="D30:G30" si="10" xml:space="preserve"> D27-D28-D29</f>
        <v>2520.2000000000016</v>
      </c>
      <c r="E30" s="7">
        <f t="shared" si="10"/>
        <v>1595.3900000000015</v>
      </c>
      <c r="F30" s="7">
        <f t="shared" si="10"/>
        <v>3811.099999999999</v>
      </c>
      <c r="G30" s="7">
        <f t="shared" si="10"/>
        <v>8191.49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12</v>
      </c>
      <c r="D34" s="4">
        <v>15</v>
      </c>
      <c r="E34" s="4">
        <v>12</v>
      </c>
      <c r="F34" s="4">
        <v>21</v>
      </c>
      <c r="G34" s="4">
        <v>32</v>
      </c>
    </row>
    <row r="35" spans="2:7" ht="18.75" x14ac:dyDescent="0.25">
      <c r="B35" s="8" t="s">
        <v>118</v>
      </c>
      <c r="C35" s="4">
        <f>C27/C34</f>
        <v>313.66749999999985</v>
      </c>
      <c r="D35" s="4">
        <f t="shared" ref="D35:G35" si="11">D27/D34</f>
        <v>303.85000000000014</v>
      </c>
      <c r="E35" s="4">
        <f t="shared" si="11"/>
        <v>295.67083333333346</v>
      </c>
      <c r="F35" s="4">
        <f t="shared" si="11"/>
        <v>289.77380952380946</v>
      </c>
      <c r="G35" s="4">
        <f t="shared" si="11"/>
        <v>255.98406249999999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4E004-AF56-457F-9A59-6171D3AFF9BF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2.28515625" bestFit="1" customWidth="1"/>
    <col min="4" max="4" width="11.5703125" bestFit="1" customWidth="1"/>
    <col min="5" max="6" width="12.28515625" bestFit="1" customWidth="1"/>
    <col min="7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386.9</v>
      </c>
      <c r="D6" s="16">
        <f>'Income Statement'!D11</f>
        <v>426.42</v>
      </c>
      <c r="E6" s="16">
        <f>'Income Statement'!E11</f>
        <v>394.36</v>
      </c>
      <c r="F6" s="16">
        <f>'Income Statement'!F11</f>
        <v>410.24</v>
      </c>
      <c r="G6" s="16">
        <f>'Income Statement'!G11</f>
        <v>106.95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3758.93</v>
      </c>
      <c r="D7" s="16">
        <f>'Balance Sheet'!D19</f>
        <v>3469.1899999999996</v>
      </c>
      <c r="E7" s="16">
        <f>'Balance Sheet'!E19</f>
        <v>3047.74</v>
      </c>
      <c r="F7" s="16">
        <f>'Balance Sheet'!F19</f>
        <v>5037.74</v>
      </c>
      <c r="G7" s="16">
        <f>'Balance Sheet'!G19</f>
        <v>6360.43</v>
      </c>
    </row>
    <row r="8" spans="2:7" ht="18.75" x14ac:dyDescent="0.25">
      <c r="B8" s="17" t="s">
        <v>194</v>
      </c>
      <c r="C8" s="17">
        <f>ROUND(365/C6*C7, 2)</f>
        <v>3546.16</v>
      </c>
      <c r="D8" s="17">
        <f t="shared" ref="D8:G8" si="0">ROUND(365/D6*D7, 2)</f>
        <v>2969.5</v>
      </c>
      <c r="E8" s="17">
        <f t="shared" si="0"/>
        <v>2820.84</v>
      </c>
      <c r="F8" s="17">
        <f t="shared" si="0"/>
        <v>4482.1899999999996</v>
      </c>
      <c r="G8" s="17">
        <f t="shared" si="0"/>
        <v>21706.94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55373-93A0-4CC5-AFC2-F4F3156573F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Sheet'!B37</f>
        <v>Trade Receivables</v>
      </c>
      <c r="C7" s="16">
        <f>'Balance Sheet'!C37</f>
        <v>1472.74</v>
      </c>
      <c r="D7" s="16">
        <f>'Balance Sheet'!D37</f>
        <v>1424.51</v>
      </c>
      <c r="E7" s="16">
        <f>'Balance Sheet'!E37</f>
        <v>2223.71</v>
      </c>
      <c r="F7" s="16">
        <f>'Balance Sheet'!F37</f>
        <v>2139.89</v>
      </c>
      <c r="G7" s="16">
        <f>'Balance Sheet'!G37</f>
        <v>2954.3</v>
      </c>
    </row>
    <row r="8" spans="2:7" ht="18.75" x14ac:dyDescent="0.25">
      <c r="B8" s="17" t="s">
        <v>196</v>
      </c>
      <c r="C8" s="17">
        <f>ROUND(365/C6*C7, 2)</f>
        <v>46.28</v>
      </c>
      <c r="D8" s="17">
        <f t="shared" ref="D8:G8" si="0">ROUND(365/D6*D7, 2)</f>
        <v>42.79</v>
      </c>
      <c r="E8" s="17">
        <f t="shared" si="0"/>
        <v>69.38</v>
      </c>
      <c r="F8" s="17">
        <f t="shared" si="0"/>
        <v>50.82</v>
      </c>
      <c r="G8" s="17">
        <f t="shared" si="0"/>
        <v>41.66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425C1-B7D9-4BA7-B412-0B7A96D2C876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Sheet'!B36</f>
        <v>Inventories</v>
      </c>
      <c r="C7" s="16">
        <f>'Balance Sheet'!C36</f>
        <v>571.69000000000005</v>
      </c>
      <c r="D7" s="16">
        <f>'Balance Sheet'!D36</f>
        <v>666.17</v>
      </c>
      <c r="E7" s="16">
        <f>'Balance Sheet'!E36</f>
        <v>723.51</v>
      </c>
      <c r="F7" s="16">
        <f>'Balance Sheet'!F36</f>
        <v>921.72</v>
      </c>
      <c r="G7" s="16">
        <f>'Balance Sheet'!G36</f>
        <v>2164.9</v>
      </c>
    </row>
    <row r="8" spans="2:7" ht="18.75" x14ac:dyDescent="0.25">
      <c r="B8" s="15" t="s">
        <v>192</v>
      </c>
      <c r="C8" s="16">
        <f>ROUND(365/C6*C7, 2)</f>
        <v>17.97</v>
      </c>
      <c r="D8" s="16">
        <f t="shared" ref="D8:G8" si="0">ROUND(365/D6*D7, 2)</f>
        <v>20.010000000000002</v>
      </c>
      <c r="E8" s="16">
        <f t="shared" si="0"/>
        <v>22.57</v>
      </c>
      <c r="F8" s="16">
        <f t="shared" si="0"/>
        <v>21.89</v>
      </c>
      <c r="G8" s="16">
        <f t="shared" si="0"/>
        <v>30.53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386.9</v>
      </c>
      <c r="D9" s="16">
        <f>'Income Statement'!D11</f>
        <v>426.42</v>
      </c>
      <c r="E9" s="16">
        <f>'Income Statement'!E11</f>
        <v>394.36</v>
      </c>
      <c r="F9" s="16">
        <f>'Income Statement'!F11</f>
        <v>410.24</v>
      </c>
      <c r="G9" s="16">
        <f>'Income Statement'!G11</f>
        <v>106.95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3758.93</v>
      </c>
      <c r="D10" s="16">
        <f>'Balance Sheet'!D19</f>
        <v>3469.1899999999996</v>
      </c>
      <c r="E10" s="16">
        <f>'Balance Sheet'!E19</f>
        <v>3047.74</v>
      </c>
      <c r="F10" s="16">
        <f>'Balance Sheet'!F19</f>
        <v>5037.74</v>
      </c>
      <c r="G10" s="16">
        <f>'Balance Sheet'!G19</f>
        <v>6360.43</v>
      </c>
    </row>
    <row r="11" spans="2:7" ht="18.75" x14ac:dyDescent="0.25">
      <c r="B11" s="15" t="s">
        <v>194</v>
      </c>
      <c r="C11" s="16">
        <f>ROUND(365/C9*C10, 2)</f>
        <v>3546.16</v>
      </c>
      <c r="D11" s="16">
        <f t="shared" ref="D11:G11" si="1">ROUND(365/D9*D10, 2)</f>
        <v>2969.5</v>
      </c>
      <c r="E11" s="16">
        <f t="shared" si="1"/>
        <v>2820.84</v>
      </c>
      <c r="F11" s="16">
        <f t="shared" si="1"/>
        <v>4482.1899999999996</v>
      </c>
      <c r="G11" s="16">
        <f t="shared" si="1"/>
        <v>21706.94</v>
      </c>
    </row>
    <row r="12" spans="2:7" ht="18.75" x14ac:dyDescent="0.25">
      <c r="B12" s="17" t="s">
        <v>198</v>
      </c>
      <c r="C12" s="28">
        <f>ROUND(C11+C8, 2)</f>
        <v>3564.13</v>
      </c>
      <c r="D12" s="28">
        <f t="shared" ref="D12:G12" si="2">ROUND(D11+D8, 2)</f>
        <v>2989.51</v>
      </c>
      <c r="E12" s="28">
        <f t="shared" si="2"/>
        <v>2843.41</v>
      </c>
      <c r="F12" s="28">
        <f t="shared" si="2"/>
        <v>4504.08</v>
      </c>
      <c r="G12" s="28">
        <f t="shared" si="2"/>
        <v>21737.47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4EEB-45FF-40E7-85C6-5687BF44D7E8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11614.17</v>
      </c>
      <c r="D6" s="16">
        <f>'Income Statement'!D5</f>
        <v>12152.15</v>
      </c>
      <c r="E6" s="16">
        <f>'Income Statement'!E5</f>
        <v>11698.79</v>
      </c>
      <c r="F6" s="16">
        <f>'Income Statement'!F5</f>
        <v>15370.05</v>
      </c>
      <c r="G6" s="16">
        <f>'Income Statement'!G5</f>
        <v>25881.73</v>
      </c>
    </row>
    <row r="7" spans="2:7" ht="18.75" x14ac:dyDescent="0.25">
      <c r="B7" s="15" t="str">
        <f>'Balance Sheet'!B36</f>
        <v>Inventories</v>
      </c>
      <c r="C7" s="16">
        <f>'Balance Sheet'!C36</f>
        <v>571.69000000000005</v>
      </c>
      <c r="D7" s="16">
        <f>'Balance Sheet'!D36</f>
        <v>666.17</v>
      </c>
      <c r="E7" s="16">
        <f>'Balance Sheet'!E36</f>
        <v>723.51</v>
      </c>
      <c r="F7" s="16">
        <f>'Balance Sheet'!F36</f>
        <v>921.72</v>
      </c>
      <c r="G7" s="16">
        <f>'Balance Sheet'!G36</f>
        <v>2164.9</v>
      </c>
    </row>
    <row r="8" spans="2:7" ht="18.75" x14ac:dyDescent="0.25">
      <c r="B8" s="15" t="s">
        <v>192</v>
      </c>
      <c r="C8" s="16">
        <f>ROUND(365/C6*C7, 2)</f>
        <v>17.97</v>
      </c>
      <c r="D8" s="16">
        <f t="shared" ref="D8:G8" si="0">ROUND(365/D6*D7, 2)</f>
        <v>20.010000000000002</v>
      </c>
      <c r="E8" s="16">
        <f t="shared" si="0"/>
        <v>22.57</v>
      </c>
      <c r="F8" s="16">
        <f t="shared" si="0"/>
        <v>21.89</v>
      </c>
      <c r="G8" s="16">
        <f t="shared" si="0"/>
        <v>30.53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386.9</v>
      </c>
      <c r="D9" s="16">
        <f>'Income Statement'!D11</f>
        <v>426.42</v>
      </c>
      <c r="E9" s="16">
        <f>'Income Statement'!E11</f>
        <v>394.36</v>
      </c>
      <c r="F9" s="16">
        <f>'Income Statement'!F11</f>
        <v>410.24</v>
      </c>
      <c r="G9" s="16">
        <f>'Income Statement'!G11</f>
        <v>106.95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3758.93</v>
      </c>
      <c r="D10" s="16">
        <f>'Balance Sheet'!D19</f>
        <v>3469.1899999999996</v>
      </c>
      <c r="E10" s="16">
        <f>'Balance Sheet'!E19</f>
        <v>3047.74</v>
      </c>
      <c r="F10" s="16">
        <f>'Balance Sheet'!F19</f>
        <v>5037.74</v>
      </c>
      <c r="G10" s="16">
        <f>'Balance Sheet'!G19</f>
        <v>6360.43</v>
      </c>
    </row>
    <row r="11" spans="2:7" ht="18.75" x14ac:dyDescent="0.25">
      <c r="B11" s="15" t="s">
        <v>194</v>
      </c>
      <c r="C11" s="16">
        <f>ROUND(365/C9*C10, 2)</f>
        <v>3546.16</v>
      </c>
      <c r="D11" s="16">
        <f t="shared" ref="D11:G11" si="1">ROUND(365/D9*D10, 2)</f>
        <v>2969.5</v>
      </c>
      <c r="E11" s="16">
        <f t="shared" si="1"/>
        <v>2820.84</v>
      </c>
      <c r="F11" s="16">
        <f t="shared" si="1"/>
        <v>4482.1899999999996</v>
      </c>
      <c r="G11" s="16">
        <f t="shared" si="1"/>
        <v>21706.94</v>
      </c>
    </row>
    <row r="12" spans="2:7" ht="18.75" x14ac:dyDescent="0.25">
      <c r="B12" s="15" t="s">
        <v>200</v>
      </c>
      <c r="C12" s="16">
        <f>ROUND(C11+C8, 2)</f>
        <v>3564.13</v>
      </c>
      <c r="D12" s="16">
        <f t="shared" ref="D12:G12" si="2">ROUND(D11+D8, 2)</f>
        <v>2989.51</v>
      </c>
      <c r="E12" s="16">
        <f t="shared" si="2"/>
        <v>2843.41</v>
      </c>
      <c r="F12" s="16">
        <f t="shared" si="2"/>
        <v>4504.08</v>
      </c>
      <c r="G12" s="16">
        <f t="shared" si="2"/>
        <v>21737.47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386.9</v>
      </c>
      <c r="D13" s="16">
        <f>'Income Statement'!D11</f>
        <v>426.42</v>
      </c>
      <c r="E13" s="16">
        <f>'Income Statement'!E11</f>
        <v>394.36</v>
      </c>
      <c r="F13" s="16">
        <f>'Income Statement'!F11</f>
        <v>410.24</v>
      </c>
      <c r="G13" s="16">
        <f>'Income Statement'!G11</f>
        <v>106.95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3758.93</v>
      </c>
      <c r="D14" s="16">
        <f>'Balance Sheet'!D19</f>
        <v>3469.1899999999996</v>
      </c>
      <c r="E14" s="16">
        <f>'Balance Sheet'!E19</f>
        <v>3047.74</v>
      </c>
      <c r="F14" s="16">
        <f>'Balance Sheet'!F19</f>
        <v>5037.74</v>
      </c>
      <c r="G14" s="16">
        <f>'Balance Sheet'!G19</f>
        <v>6360.43</v>
      </c>
    </row>
    <row r="15" spans="2:7" ht="18.75" x14ac:dyDescent="0.25">
      <c r="B15" s="15" t="s">
        <v>194</v>
      </c>
      <c r="C15" s="16">
        <f>ROUND(365/C13*C14, 2)</f>
        <v>3546.16</v>
      </c>
      <c r="D15" s="16">
        <f t="shared" ref="D15:G15" si="3">ROUND(365/D13*D14, 2)</f>
        <v>2969.5</v>
      </c>
      <c r="E15" s="16">
        <f t="shared" si="3"/>
        <v>2820.84</v>
      </c>
      <c r="F15" s="16">
        <f t="shared" si="3"/>
        <v>4482.1899999999996</v>
      </c>
      <c r="G15" s="16">
        <f t="shared" si="3"/>
        <v>21706.94</v>
      </c>
    </row>
    <row r="16" spans="2:7" ht="18.75" x14ac:dyDescent="0.25">
      <c r="B16" s="17" t="s">
        <v>201</v>
      </c>
      <c r="C16" s="28">
        <f>ROUND(C15-C12, 2)</f>
        <v>-17.97</v>
      </c>
      <c r="D16" s="28">
        <f t="shared" ref="D16:G16" si="4">ROUND(D15-D12, 2)</f>
        <v>-20.010000000000002</v>
      </c>
      <c r="E16" s="28">
        <f t="shared" si="4"/>
        <v>-22.57</v>
      </c>
      <c r="F16" s="28">
        <f t="shared" si="4"/>
        <v>-21.89</v>
      </c>
      <c r="G16" s="28">
        <f t="shared" si="4"/>
        <v>-30.53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B5ECA-C171-4D72-8BE0-90DB2E8BCD1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24417.41</v>
      </c>
      <c r="D5" s="16">
        <f>'Balance Sheet'!D9</f>
        <v>26927.41</v>
      </c>
      <c r="E5" s="16">
        <f>'Balance Sheet'!E9</f>
        <v>28522.800000000003</v>
      </c>
      <c r="F5" s="16">
        <f>'Balance Sheet'!F9</f>
        <v>32320.780000000002</v>
      </c>
      <c r="G5" s="16">
        <f>'Balance Sheet'!G9</f>
        <v>40512.270000000004</v>
      </c>
    </row>
    <row r="6" spans="2:7" ht="18.75" x14ac:dyDescent="0.25">
      <c r="B6" s="15" t="str">
        <f>'Balance Sheet'!B21</f>
        <v>Total Liabilities</v>
      </c>
      <c r="C6" s="16">
        <f>'Balance Sheet'!C21</f>
        <v>28691.32</v>
      </c>
      <c r="D6" s="16">
        <f>'Balance Sheet'!D21</f>
        <v>30774.639999999999</v>
      </c>
      <c r="E6" s="16">
        <f>'Balance Sheet'!E21</f>
        <v>32144.16</v>
      </c>
      <c r="F6" s="16">
        <f>'Balance Sheet'!F21</f>
        <v>39366.53</v>
      </c>
      <c r="G6" s="16">
        <f>'Balance Sheet'!G21</f>
        <v>50376.94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61A2A-9FBE-467D-9CA8-48FB03CDDB8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6" width="11.5703125" bestFit="1" customWidth="1"/>
    <col min="7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6286.7799999999988</v>
      </c>
      <c r="D5" s="16">
        <f>'Income Statement'!D17</f>
        <v>7433.6400000000012</v>
      </c>
      <c r="E5" s="16">
        <f>'Income Statement'!E17</f>
        <v>6462.0200000000013</v>
      </c>
      <c r="F5" s="16">
        <f>'Income Statement'!F17</f>
        <v>8979.0499999999993</v>
      </c>
      <c r="G5" s="16">
        <f>'Income Statement'!G17</f>
        <v>12100.539999999999</v>
      </c>
    </row>
    <row r="6" spans="2:7" ht="18.75" x14ac:dyDescent="0.25">
      <c r="B6" s="15" t="str">
        <f>'Income Statement'!B19</f>
        <v>PBIT</v>
      </c>
      <c r="C6" s="16">
        <f>'Income Statement'!C19</f>
        <v>6030.1499999999987</v>
      </c>
      <c r="D6" s="16">
        <f>'Income Statement'!D19</f>
        <v>7154.6000000000013</v>
      </c>
      <c r="E6" s="16">
        <f>'Income Statement'!E19</f>
        <v>6167.0900000000011</v>
      </c>
      <c r="F6" s="16">
        <f>'Income Statement'!F19</f>
        <v>8750.5099999999984</v>
      </c>
      <c r="G6" s="16">
        <f>'Income Statement'!G19</f>
        <v>11812.8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E2EDD-52E8-4F97-84D1-F1DE9DD697A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12016.32</v>
      </c>
      <c r="D5" s="16">
        <f>'Balance Sheet'!D39</f>
        <v>12957.39</v>
      </c>
      <c r="E5" s="16">
        <f>'Balance Sheet'!E39</f>
        <v>12592.200000000003</v>
      </c>
      <c r="F5" s="16">
        <f>'Balance Sheet'!F39</f>
        <v>18348.11</v>
      </c>
      <c r="G5" s="16">
        <f>'Balance Sheet'!G39</f>
        <v>27541.86</v>
      </c>
    </row>
    <row r="6" spans="2:7" ht="18.75" x14ac:dyDescent="0.25">
      <c r="B6" s="15" t="str">
        <f>'Balance Sheet'!B19</f>
        <v>Total Current Liabilities</v>
      </c>
      <c r="C6" s="16">
        <f>'Balance Sheet'!C19</f>
        <v>3758.93</v>
      </c>
      <c r="D6" s="16">
        <f>'Balance Sheet'!D19</f>
        <v>3469.1899999999996</v>
      </c>
      <c r="E6" s="16">
        <f>'Balance Sheet'!E19</f>
        <v>3047.74</v>
      </c>
      <c r="F6" s="16">
        <f>'Balance Sheet'!F19</f>
        <v>5037.74</v>
      </c>
      <c r="G6" s="16">
        <f>'Balance Sheet'!G19</f>
        <v>6360.43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FEAC28-EDBE-443E-878D-1D82DFF0A7B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6" width="10" bestFit="1" customWidth="1"/>
    <col min="7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714.12</v>
      </c>
      <c r="D5" s="16">
        <f>'Balance Sheet'!D14</f>
        <v>768.52</v>
      </c>
      <c r="E5" s="16">
        <f>'Balance Sheet'!E14</f>
        <v>827.96</v>
      </c>
      <c r="F5" s="16">
        <f>'Balance Sheet'!F14</f>
        <v>945.41</v>
      </c>
      <c r="G5" s="16">
        <f>'Balance Sheet'!G14</f>
        <v>1092.46</v>
      </c>
    </row>
    <row r="6" spans="2:7" ht="18.75" x14ac:dyDescent="0.25">
      <c r="B6" s="15" t="str">
        <f>'Balance Sheet'!B15</f>
        <v>Short Term Provisions</v>
      </c>
      <c r="C6" s="16">
        <f>'Balance Sheet'!C15</f>
        <v>27.61</v>
      </c>
      <c r="D6" s="16">
        <f>'Balance Sheet'!D15</f>
        <v>41.45</v>
      </c>
      <c r="E6" s="16">
        <f>'Balance Sheet'!E15</f>
        <v>222.78</v>
      </c>
      <c r="F6" s="16">
        <f>'Balance Sheet'!F15</f>
        <v>98.56</v>
      </c>
      <c r="G6" s="16">
        <f>'Balance Sheet'!G15</f>
        <v>15.13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CC39C-FC44-4C57-96BA-17068A11B55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5703125" bestFit="1" customWidth="1"/>
    <col min="7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386.9</v>
      </c>
      <c r="D5" s="16">
        <f>'Income Statement'!D11</f>
        <v>426.42</v>
      </c>
      <c r="E5" s="16">
        <f>'Income Statement'!E11</f>
        <v>394.36</v>
      </c>
      <c r="F5" s="16">
        <f>'Income Statement'!F11</f>
        <v>410.24</v>
      </c>
      <c r="G5" s="16">
        <f>'Income Statement'!G11</f>
        <v>106.95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2119.73</v>
      </c>
      <c r="D6" s="16">
        <f>'Income Statement'!D12</f>
        <v>2003.78</v>
      </c>
      <c r="E6" s="16">
        <f>'Income Statement'!E12</f>
        <v>2096.29</v>
      </c>
      <c r="F6" s="16">
        <f>'Income Statement'!F12</f>
        <v>2969.38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6D2EE3-2625-4216-83B3-8D06A0CC3CA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11614.17</v>
      </c>
      <c r="D5" s="16">
        <f>'Income Statement'!D5</f>
        <v>12152.15</v>
      </c>
      <c r="E5" s="16">
        <f>'Income Statement'!E5</f>
        <v>11698.79</v>
      </c>
      <c r="F5" s="16">
        <f>'Income Statement'!F5</f>
        <v>15370.05</v>
      </c>
      <c r="G5" s="16">
        <f>'Income Statement'!G5</f>
        <v>25881.73</v>
      </c>
    </row>
    <row r="6" spans="2:7" ht="18.75" x14ac:dyDescent="0.25">
      <c r="B6" s="15" t="str">
        <f>'Income Statement'!B10</f>
        <v>Total Income</v>
      </c>
      <c r="C6" s="16">
        <f>'Income Statement'!C10</f>
        <v>12137.38</v>
      </c>
      <c r="D6" s="16">
        <f>'Income Statement'!D10</f>
        <v>12741.11</v>
      </c>
      <c r="E6" s="16">
        <f>'Income Statement'!E10</f>
        <v>12213.150000000001</v>
      </c>
      <c r="F6" s="16">
        <f>'Income Statement'!F10</f>
        <v>15721.65</v>
      </c>
      <c r="G6" s="16">
        <f>'Income Statement'!G10</f>
        <v>26600.25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81040-DFFF-4418-B04A-563CC3F3B45F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5.425781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316.39</v>
      </c>
      <c r="D5" s="4">
        <v>306.19</v>
      </c>
      <c r="E5" s="4">
        <v>306.19</v>
      </c>
      <c r="F5" s="4">
        <v>293.07</v>
      </c>
      <c r="G5" s="4">
        <v>293.07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316.39</v>
      </c>
      <c r="D7" s="6">
        <f t="shared" ref="D7:G7" si="0">D5+D6</f>
        <v>306.19</v>
      </c>
      <c r="E7" s="6">
        <f t="shared" si="0"/>
        <v>306.19</v>
      </c>
      <c r="F7" s="6">
        <f t="shared" si="0"/>
        <v>293.07</v>
      </c>
      <c r="G7" s="6">
        <f t="shared" si="0"/>
        <v>293.07</v>
      </c>
    </row>
    <row r="8" spans="2:7" ht="18.75" x14ac:dyDescent="0.25">
      <c r="B8" s="8" t="s">
        <v>7</v>
      </c>
      <c r="C8" s="5">
        <v>24101.02</v>
      </c>
      <c r="D8" s="5">
        <f>'Income Statement'!D30+C8</f>
        <v>26621.22</v>
      </c>
      <c r="E8" s="5">
        <f>'Income Statement'!E30+D8</f>
        <v>28216.610000000004</v>
      </c>
      <c r="F8" s="5">
        <f>'Income Statement'!F30+E8</f>
        <v>32027.710000000003</v>
      </c>
      <c r="G8" s="5">
        <f>'Income Statement'!G30+F8</f>
        <v>40219.200000000004</v>
      </c>
    </row>
    <row r="9" spans="2:7" ht="18.75" x14ac:dyDescent="0.25">
      <c r="B9" s="9" t="s">
        <v>122</v>
      </c>
      <c r="C9" s="7">
        <f>C7+C8</f>
        <v>24417.41</v>
      </c>
      <c r="D9" s="7">
        <f t="shared" ref="D9:G9" si="1">D7+D8</f>
        <v>26927.41</v>
      </c>
      <c r="E9" s="7">
        <f t="shared" si="1"/>
        <v>28522.800000000003</v>
      </c>
      <c r="F9" s="7">
        <f t="shared" si="1"/>
        <v>32320.780000000002</v>
      </c>
      <c r="G9" s="7">
        <f t="shared" si="1"/>
        <v>40512.270000000004</v>
      </c>
    </row>
    <row r="10" spans="2:7" ht="18.75" x14ac:dyDescent="0.25">
      <c r="B10" s="8" t="s">
        <v>12</v>
      </c>
      <c r="C10" s="5">
        <v>0</v>
      </c>
      <c r="D10" s="4">
        <v>0</v>
      </c>
      <c r="E10" s="4">
        <v>0</v>
      </c>
      <c r="F10" s="4">
        <v>546.42999999999995</v>
      </c>
      <c r="G10" s="4">
        <v>1674.07</v>
      </c>
    </row>
    <row r="11" spans="2:7" ht="18.75" x14ac:dyDescent="0.25">
      <c r="B11" s="8" t="s">
        <v>13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18</v>
      </c>
      <c r="C12" s="5">
        <v>500.09</v>
      </c>
      <c r="D12" s="5">
        <v>364.15</v>
      </c>
      <c r="E12" s="4">
        <v>565.57000000000005</v>
      </c>
      <c r="F12" s="4">
        <v>1448.04</v>
      </c>
      <c r="G12" s="4">
        <v>1816.72</v>
      </c>
    </row>
    <row r="13" spans="2:7" ht="18.75" x14ac:dyDescent="0.25">
      <c r="B13" s="9" t="s">
        <v>123</v>
      </c>
      <c r="C13" s="7">
        <f>C10+C11+C12</f>
        <v>500.09</v>
      </c>
      <c r="D13" s="7">
        <f t="shared" ref="D13:G13" si="2">D10+D11+D12</f>
        <v>364.15</v>
      </c>
      <c r="E13" s="7">
        <f t="shared" si="2"/>
        <v>565.57000000000005</v>
      </c>
      <c r="F13" s="7">
        <f t="shared" si="2"/>
        <v>1994.4699999999998</v>
      </c>
      <c r="G13" s="7">
        <f t="shared" si="2"/>
        <v>3490.79</v>
      </c>
    </row>
    <row r="14" spans="2:7" ht="18.75" x14ac:dyDescent="0.25">
      <c r="B14" s="8" t="s">
        <v>15</v>
      </c>
      <c r="C14" s="5">
        <v>714.12</v>
      </c>
      <c r="D14" s="4">
        <v>768.52</v>
      </c>
      <c r="E14" s="4">
        <v>827.96</v>
      </c>
      <c r="F14" s="4">
        <v>945.41</v>
      </c>
      <c r="G14" s="4">
        <v>1092.46</v>
      </c>
    </row>
    <row r="15" spans="2:7" ht="18.75" x14ac:dyDescent="0.25">
      <c r="B15" s="8" t="s">
        <v>21</v>
      </c>
      <c r="C15" s="4">
        <v>27.61</v>
      </c>
      <c r="D15" s="4">
        <v>41.45</v>
      </c>
      <c r="E15" s="4">
        <v>222.78</v>
      </c>
      <c r="F15" s="4">
        <v>98.56</v>
      </c>
      <c r="G15" s="4">
        <v>15.13</v>
      </c>
    </row>
    <row r="16" spans="2:7" ht="18.75" x14ac:dyDescent="0.25">
      <c r="B16" s="8" t="s">
        <v>14</v>
      </c>
      <c r="C16" s="4">
        <v>0</v>
      </c>
      <c r="D16" s="4">
        <v>0</v>
      </c>
      <c r="E16" s="4">
        <v>5.83</v>
      </c>
      <c r="F16" s="4">
        <v>4.7</v>
      </c>
      <c r="G16" s="4">
        <v>150.28</v>
      </c>
    </row>
    <row r="17" spans="2:7" ht="18.75" x14ac:dyDescent="0.25">
      <c r="B17" s="8" t="s">
        <v>19</v>
      </c>
      <c r="C17" s="4">
        <v>159.63999999999999</v>
      </c>
      <c r="D17" s="4">
        <v>202.79</v>
      </c>
      <c r="E17" s="4">
        <v>225.9</v>
      </c>
      <c r="F17" s="4">
        <v>360.78</v>
      </c>
      <c r="G17" s="4">
        <v>967.53</v>
      </c>
    </row>
    <row r="18" spans="2:7" ht="18.75" x14ac:dyDescent="0.25">
      <c r="B18" s="8" t="s">
        <v>20</v>
      </c>
      <c r="C18" s="5">
        <v>2857.56</v>
      </c>
      <c r="D18" s="5">
        <v>2456.4299999999998</v>
      </c>
      <c r="E18" s="5">
        <v>1765.27</v>
      </c>
      <c r="F18" s="5">
        <v>3628.29</v>
      </c>
      <c r="G18" s="5">
        <v>4135.03</v>
      </c>
    </row>
    <row r="19" spans="2:7" ht="18.75" x14ac:dyDescent="0.25">
      <c r="B19" s="9" t="s">
        <v>22</v>
      </c>
      <c r="C19" s="7">
        <f>C14+C15+C16+C17+C18</f>
        <v>3758.93</v>
      </c>
      <c r="D19" s="7">
        <f t="shared" ref="D19:G19" si="3">D14+D15+D16+D17+D18</f>
        <v>3469.1899999999996</v>
      </c>
      <c r="E19" s="7">
        <f t="shared" si="3"/>
        <v>3047.74</v>
      </c>
      <c r="F19" s="7">
        <f t="shared" si="3"/>
        <v>5037.74</v>
      </c>
      <c r="G19" s="7">
        <f t="shared" si="3"/>
        <v>6360.43</v>
      </c>
    </row>
    <row r="20" spans="2:7" ht="18.75" x14ac:dyDescent="0.25">
      <c r="B20" s="8" t="s">
        <v>10</v>
      </c>
      <c r="C20" s="4">
        <v>14.89</v>
      </c>
      <c r="D20" s="4">
        <v>13.89</v>
      </c>
      <c r="E20" s="4">
        <v>8.0500000000000007</v>
      </c>
      <c r="F20" s="4">
        <v>13.54</v>
      </c>
      <c r="G20" s="4">
        <v>13.45</v>
      </c>
    </row>
    <row r="21" spans="2:7" ht="18.75" x14ac:dyDescent="0.25">
      <c r="B21" s="9" t="s">
        <v>124</v>
      </c>
      <c r="C21" s="7">
        <f>C9+C13+C19+C20</f>
        <v>28691.32</v>
      </c>
      <c r="D21" s="7">
        <f t="shared" ref="D21:G21" si="4">D9+D13+D19+D20</f>
        <v>30774.639999999999</v>
      </c>
      <c r="E21" s="7">
        <f t="shared" si="4"/>
        <v>32144.16</v>
      </c>
      <c r="F21" s="7">
        <f t="shared" si="4"/>
        <v>39366.53</v>
      </c>
      <c r="G21" s="7">
        <f t="shared" si="4"/>
        <v>50376.94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3149.61</v>
      </c>
      <c r="D23" s="5">
        <v>3198.51</v>
      </c>
      <c r="E23" s="5">
        <v>3260.95</v>
      </c>
      <c r="F23" s="5">
        <v>3320.95</v>
      </c>
      <c r="G23" s="5">
        <v>23030.38</v>
      </c>
    </row>
    <row r="24" spans="2:7" ht="18.75" x14ac:dyDescent="0.25">
      <c r="B24" s="8" t="s">
        <v>27</v>
      </c>
      <c r="C24" s="4">
        <v>213.71</v>
      </c>
      <c r="D24" s="4">
        <v>220.01</v>
      </c>
      <c r="E24" s="4">
        <v>454.66</v>
      </c>
      <c r="F24" s="4">
        <v>518.57000000000005</v>
      </c>
      <c r="G24" s="4">
        <v>0</v>
      </c>
    </row>
    <row r="25" spans="2:7" ht="18.75" x14ac:dyDescent="0.25">
      <c r="B25" s="8" t="s">
        <v>125</v>
      </c>
      <c r="C25" s="4"/>
      <c r="D25" s="4">
        <f>'Income Statement'!D18</f>
        <v>279.04000000000002</v>
      </c>
      <c r="E25" s="4">
        <f>'Income Statement'!E18+D25</f>
        <v>573.97</v>
      </c>
      <c r="F25" s="4">
        <f>'Income Statement'!F18+E25</f>
        <v>802.51</v>
      </c>
      <c r="G25" s="4">
        <f>'Income Statement'!G18+F25</f>
        <v>1090.25</v>
      </c>
    </row>
    <row r="26" spans="2:7" ht="18.75" x14ac:dyDescent="0.25">
      <c r="B26" s="9" t="s">
        <v>126</v>
      </c>
      <c r="C26" s="7">
        <f>C23+C24-C25</f>
        <v>3363.32</v>
      </c>
      <c r="D26" s="7">
        <f t="shared" ref="D26:G26" si="5">D23+D24-D25</f>
        <v>3139.4800000000005</v>
      </c>
      <c r="E26" s="7">
        <f t="shared" si="5"/>
        <v>3141.6399999999994</v>
      </c>
      <c r="F26" s="7">
        <f t="shared" si="5"/>
        <v>3037.01</v>
      </c>
      <c r="G26" s="7">
        <f t="shared" si="5"/>
        <v>21940.13</v>
      </c>
    </row>
    <row r="27" spans="2:7" ht="18.75" x14ac:dyDescent="0.25">
      <c r="B27" s="8" t="s">
        <v>30</v>
      </c>
      <c r="C27" s="4">
        <v>672.73</v>
      </c>
      <c r="D27" s="4">
        <v>858.87</v>
      </c>
      <c r="E27" s="4">
        <v>910.1</v>
      </c>
      <c r="F27" s="4">
        <v>874.9</v>
      </c>
      <c r="G27" s="4">
        <v>894.95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12638.949999999999</v>
      </c>
      <c r="D29" s="5">
        <v>13818.9</v>
      </c>
      <c r="E29" s="5">
        <v>15500.22</v>
      </c>
      <c r="F29" s="5">
        <v>17106.509999999998</v>
      </c>
      <c r="G29" s="5">
        <v>0</v>
      </c>
    </row>
    <row r="30" spans="2:7" ht="18.75" x14ac:dyDescent="0.25">
      <c r="B30" s="9" t="s">
        <v>127</v>
      </c>
      <c r="C30" s="7">
        <f>C26+C27+C28+C29</f>
        <v>16675</v>
      </c>
      <c r="D30" s="7">
        <f t="shared" ref="D30:G30" si="6">D26+D27+D28+D29</f>
        <v>17817.25</v>
      </c>
      <c r="E30" s="7">
        <f t="shared" si="6"/>
        <v>19551.96</v>
      </c>
      <c r="F30" s="7">
        <f t="shared" si="6"/>
        <v>21018.42</v>
      </c>
      <c r="G30" s="7">
        <f t="shared" si="6"/>
        <v>22835.08</v>
      </c>
    </row>
    <row r="31" spans="2:7" ht="18.75" x14ac:dyDescent="0.25">
      <c r="B31" s="8" t="s">
        <v>31</v>
      </c>
      <c r="C31" s="4">
        <v>385.71</v>
      </c>
      <c r="D31" s="4">
        <v>582.73</v>
      </c>
      <c r="E31" s="4">
        <v>397.07</v>
      </c>
      <c r="F31" s="4">
        <v>408.28</v>
      </c>
      <c r="G31" s="4">
        <v>530.95000000000005</v>
      </c>
    </row>
    <row r="32" spans="2:7" ht="18.75" x14ac:dyDescent="0.25">
      <c r="B32" s="8" t="s">
        <v>32</v>
      </c>
      <c r="C32" s="4">
        <v>140.07</v>
      </c>
      <c r="D32" s="4">
        <v>154.71</v>
      </c>
      <c r="E32" s="4">
        <v>224.38</v>
      </c>
      <c r="F32" s="4">
        <v>259.17</v>
      </c>
      <c r="G32" s="4">
        <v>40.770000000000003</v>
      </c>
    </row>
    <row r="33" spans="2:7" ht="18.75" x14ac:dyDescent="0.25">
      <c r="B33" s="8" t="s">
        <v>33</v>
      </c>
      <c r="C33" s="5">
        <v>2626.23</v>
      </c>
      <c r="D33" s="5">
        <v>2986.32</v>
      </c>
      <c r="E33" s="5">
        <v>3075.48</v>
      </c>
      <c r="F33" s="5">
        <v>3695.91</v>
      </c>
      <c r="G33" s="5">
        <v>4449.8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1358.9</v>
      </c>
      <c r="D35" s="5">
        <v>1267.22</v>
      </c>
      <c r="E35" s="5">
        <v>1963.36</v>
      </c>
      <c r="F35" s="5">
        <v>1676.77</v>
      </c>
      <c r="G35" s="5">
        <v>2713.34</v>
      </c>
    </row>
    <row r="36" spans="2:7" ht="18.75" x14ac:dyDescent="0.25">
      <c r="B36" s="8" t="s">
        <v>37</v>
      </c>
      <c r="C36" s="5">
        <v>571.69000000000005</v>
      </c>
      <c r="D36" s="4">
        <v>666.17</v>
      </c>
      <c r="E36" s="4">
        <v>723.51</v>
      </c>
      <c r="F36" s="4">
        <v>921.72</v>
      </c>
      <c r="G36" s="4">
        <v>2164.9</v>
      </c>
    </row>
    <row r="37" spans="2:7" ht="18.75" x14ac:dyDescent="0.25">
      <c r="B37" s="8" t="s">
        <v>38</v>
      </c>
      <c r="C37" s="5">
        <v>1472.74</v>
      </c>
      <c r="D37" s="5">
        <v>1424.51</v>
      </c>
      <c r="E37" s="5">
        <v>2223.71</v>
      </c>
      <c r="F37" s="5">
        <v>2139.89</v>
      </c>
      <c r="G37" s="5">
        <v>2954.3</v>
      </c>
    </row>
    <row r="38" spans="2:7" ht="18.75" x14ac:dyDescent="0.25">
      <c r="B38" s="8" t="s">
        <v>39</v>
      </c>
      <c r="C38" s="5">
        <v>5460.98</v>
      </c>
      <c r="D38" s="5">
        <f>'CashFlow Statement'!D48+C38</f>
        <v>5875.73</v>
      </c>
      <c r="E38" s="5">
        <f>'CashFlow Statement'!E48+D38</f>
        <v>3984.6900000000019</v>
      </c>
      <c r="F38" s="5">
        <f>'CashFlow Statement'!F48+E38</f>
        <v>9246.3700000000008</v>
      </c>
      <c r="G38" s="5">
        <f>'CashFlow Statement'!G48+F38</f>
        <v>14687.799999999997</v>
      </c>
    </row>
    <row r="39" spans="2:7" ht="18.75" x14ac:dyDescent="0.25">
      <c r="B39" s="9" t="s">
        <v>42</v>
      </c>
      <c r="C39" s="7">
        <f>C31+C32+C33+C34+C35+C36+C37+C38</f>
        <v>12016.32</v>
      </c>
      <c r="D39" s="7">
        <f t="shared" ref="D39:G39" si="7">D31+D32+D33+D34+D35+D36+D37+D38</f>
        <v>12957.39</v>
      </c>
      <c r="E39" s="7">
        <f t="shared" si="7"/>
        <v>12592.200000000003</v>
      </c>
      <c r="F39" s="7">
        <f t="shared" si="7"/>
        <v>18348.11</v>
      </c>
      <c r="G39" s="7">
        <f t="shared" si="7"/>
        <v>27541.86</v>
      </c>
    </row>
    <row r="40" spans="2:7" ht="18.75" x14ac:dyDescent="0.25">
      <c r="B40" s="9" t="s">
        <v>43</v>
      </c>
      <c r="C40" s="7">
        <f>C30+C39</f>
        <v>28691.32</v>
      </c>
      <c r="D40" s="7">
        <f t="shared" ref="D40:G40" si="8">D30+D39</f>
        <v>30774.639999999999</v>
      </c>
      <c r="E40" s="7">
        <f t="shared" si="8"/>
        <v>32144.160000000003</v>
      </c>
      <c r="F40" s="7">
        <f t="shared" si="8"/>
        <v>39366.53</v>
      </c>
      <c r="G40" s="7">
        <f t="shared" si="8"/>
        <v>50376.94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932CC-9678-47BE-B772-0C3CFC699DC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28691.32</v>
      </c>
      <c r="D5" s="16">
        <f>'Balance Sheet'!D21</f>
        <v>30774.639999999999</v>
      </c>
      <c r="E5" s="16">
        <f>'Balance Sheet'!E21</f>
        <v>32144.16</v>
      </c>
      <c r="F5" s="16">
        <f>'Balance Sheet'!F21</f>
        <v>39366.53</v>
      </c>
      <c r="G5" s="16">
        <f>'Balance Sheet'!G21</f>
        <v>50376.94</v>
      </c>
    </row>
    <row r="6" spans="2:7" ht="18.75" x14ac:dyDescent="0.25">
      <c r="B6" s="15" t="str">
        <f>'Balance Sheet'!B13</f>
        <v>Total Debt</v>
      </c>
      <c r="C6" s="16">
        <f>'Balance Sheet'!C13</f>
        <v>500.09</v>
      </c>
      <c r="D6" s="16">
        <f>'Balance Sheet'!D13</f>
        <v>364.15</v>
      </c>
      <c r="E6" s="16">
        <f>'Balance Sheet'!E13</f>
        <v>565.57000000000005</v>
      </c>
      <c r="F6" s="16">
        <f>'Balance Sheet'!F13</f>
        <v>1994.4699999999998</v>
      </c>
      <c r="G6" s="16">
        <f>'Balance Sheet'!G13</f>
        <v>3490.79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842D-4140-4FBE-AF3D-A62F9C08F33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28691.32</v>
      </c>
      <c r="D5" s="16">
        <f>'Balance Sheet'!D21</f>
        <v>30774.639999999999</v>
      </c>
      <c r="E5" s="16">
        <f>'Balance Sheet'!E21</f>
        <v>32144.16</v>
      </c>
      <c r="F5" s="16">
        <f>'Balance Sheet'!F21</f>
        <v>39366.53</v>
      </c>
      <c r="G5" s="16">
        <f>'Balance Sheet'!G21</f>
        <v>50376.94</v>
      </c>
    </row>
    <row r="6" spans="2:7" ht="18.75" x14ac:dyDescent="0.25">
      <c r="B6" s="15" t="str">
        <f>'Balance Sheet'!B19</f>
        <v>Total Current Liabilities</v>
      </c>
      <c r="C6" s="16">
        <f>'Balance Sheet'!C19</f>
        <v>3758.93</v>
      </c>
      <c r="D6" s="16">
        <f>'Balance Sheet'!D19</f>
        <v>3469.1899999999996</v>
      </c>
      <c r="E6" s="16">
        <f>'Balance Sheet'!E19</f>
        <v>3047.74</v>
      </c>
      <c r="F6" s="16">
        <f>'Balance Sheet'!F19</f>
        <v>5037.74</v>
      </c>
      <c r="G6" s="16">
        <f>'Balance Sheet'!G19</f>
        <v>6360.43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11894-7DEE-4EF8-ADB2-458AF8604F3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28691.32</v>
      </c>
      <c r="D5" s="16">
        <f>'Balance Sheet'!D40</f>
        <v>30774.639999999999</v>
      </c>
      <c r="E5" s="16">
        <f>'Balance Sheet'!E40</f>
        <v>32144.160000000003</v>
      </c>
      <c r="F5" s="16">
        <f>'Balance Sheet'!F40</f>
        <v>39366.53</v>
      </c>
      <c r="G5" s="16">
        <f>'Balance Sheet'!G40</f>
        <v>50376.94</v>
      </c>
    </row>
    <row r="6" spans="2:7" ht="18.75" x14ac:dyDescent="0.25">
      <c r="B6" s="15" t="str">
        <f>'Balance Sheet'!B30</f>
        <v>Total Non Current Assets</v>
      </c>
      <c r="C6" s="16">
        <f>'Balance Sheet'!C30</f>
        <v>16675</v>
      </c>
      <c r="D6" s="16">
        <f>'Balance Sheet'!D30</f>
        <v>17817.25</v>
      </c>
      <c r="E6" s="16">
        <f>'Balance Sheet'!E30</f>
        <v>19551.96</v>
      </c>
      <c r="F6" s="16">
        <f>'Balance Sheet'!F30</f>
        <v>21018.42</v>
      </c>
      <c r="G6" s="16">
        <f>'Balance Sheet'!G30</f>
        <v>22835.08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31339-4774-4E51-990C-2580D3C570F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28691.32</v>
      </c>
      <c r="D5" s="16">
        <f>'Balance Sheet'!D40</f>
        <v>30774.639999999999</v>
      </c>
      <c r="E5" s="16">
        <f>'Balance Sheet'!E40</f>
        <v>32144.160000000003</v>
      </c>
      <c r="F5" s="16">
        <f>'Balance Sheet'!F40</f>
        <v>39366.53</v>
      </c>
      <c r="G5" s="16">
        <f>'Balance Sheet'!G40</f>
        <v>50376.94</v>
      </c>
    </row>
    <row r="6" spans="2:7" ht="18.75" x14ac:dyDescent="0.25">
      <c r="B6" s="15" t="str">
        <f>'Balance Sheet'!B39</f>
        <v>Total Current Assets</v>
      </c>
      <c r="C6" s="16">
        <f>'Balance Sheet'!C39</f>
        <v>12016.32</v>
      </c>
      <c r="D6" s="16">
        <f>'Balance Sheet'!D39</f>
        <v>12957.39</v>
      </c>
      <c r="E6" s="16">
        <f>'Balance Sheet'!E39</f>
        <v>12592.200000000003</v>
      </c>
      <c r="F6" s="16">
        <f>'Balance Sheet'!F39</f>
        <v>18348.11</v>
      </c>
      <c r="G6" s="16">
        <f>'Balance Sheet'!G39</f>
        <v>27541.86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170F0-85B8-4F5D-A719-D8754E97246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5850.6</v>
      </c>
      <c r="D5" s="16">
        <f>'Income Statement'!D15</f>
        <v>5307.4699999999993</v>
      </c>
      <c r="E5" s="16">
        <f>'Income Statement'!E15</f>
        <v>5751.13</v>
      </c>
      <c r="F5" s="16">
        <f>'Income Statement'!F15</f>
        <v>6742.5999999999995</v>
      </c>
      <c r="G5" s="16">
        <f>'Income Statement'!G15</f>
        <v>14499.710000000001</v>
      </c>
    </row>
    <row r="6" spans="2:7" ht="18.75" x14ac:dyDescent="0.25">
      <c r="B6" s="15" t="str">
        <f>'Income Statement'!B10</f>
        <v>Total Income</v>
      </c>
      <c r="C6" s="16">
        <f>'Income Statement'!C10</f>
        <v>12137.38</v>
      </c>
      <c r="D6" s="16">
        <f>'Income Statement'!D10</f>
        <v>12741.11</v>
      </c>
      <c r="E6" s="16">
        <f>'Income Statement'!E10</f>
        <v>12213.150000000001</v>
      </c>
      <c r="F6" s="16">
        <f>'Income Statement'!F10</f>
        <v>15721.65</v>
      </c>
      <c r="G6" s="16">
        <f>'Income Statement'!G10</f>
        <v>26600.25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492D9-A143-41BD-9F47-B6E2722734ED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1745.7799999999988</v>
      </c>
      <c r="D5" s="16">
        <f>'Income Statement'!D30</f>
        <v>2520.2000000000016</v>
      </c>
      <c r="E5" s="16">
        <f>'Income Statement'!E30</f>
        <v>1595.3900000000015</v>
      </c>
      <c r="F5" s="16">
        <f>'Income Statement'!F30</f>
        <v>3811.099999999999</v>
      </c>
      <c r="G5" s="16">
        <f>'Income Statement'!G30</f>
        <v>8191.49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3764.0099999999984</v>
      </c>
      <c r="D6" s="16">
        <f>'Income Statement'!D27</f>
        <v>4557.7500000000018</v>
      </c>
      <c r="E6" s="16">
        <f>'Income Statement'!E27</f>
        <v>3548.0500000000015</v>
      </c>
      <c r="F6" s="16">
        <f>'Income Statement'!F27</f>
        <v>6085.2499999999991</v>
      </c>
      <c r="G6" s="16">
        <f>'Income Statement'!G27</f>
        <v>8191.49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4FBA0A-32FF-4B53-ADD8-6C8379195599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5.1406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7114.2800000000016</v>
      </c>
      <c r="E5" s="5">
        <f>'Income Statement'!E25</f>
        <v>6060.7700000000013</v>
      </c>
      <c r="F5" s="5">
        <f>'Income Statement'!F25</f>
        <v>8733.6999999999989</v>
      </c>
      <c r="G5" s="5">
        <f>'Income Statement'!G25</f>
        <v>11773.74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4">
        <f>'Income Statement'!D18</f>
        <v>279.04000000000002</v>
      </c>
      <c r="E7" s="4">
        <f>'Income Statement'!E18</f>
        <v>294.93</v>
      </c>
      <c r="F7" s="4">
        <f>'Income Statement'!F18</f>
        <v>228.54</v>
      </c>
      <c r="G7" s="4">
        <f>'Income Statement'!G18</f>
        <v>287.74</v>
      </c>
    </row>
    <row r="8" spans="2:7" ht="18.75" x14ac:dyDescent="0.25">
      <c r="B8" s="8" t="s">
        <v>131</v>
      </c>
      <c r="C8" s="4"/>
      <c r="D8" s="4">
        <f>'Income Statement'!D20</f>
        <v>40.32</v>
      </c>
      <c r="E8" s="4">
        <f>'Income Statement'!E20</f>
        <v>9.8800000000000008</v>
      </c>
      <c r="F8" s="4">
        <f>'Income Statement'!F20</f>
        <v>16.809999999999999</v>
      </c>
      <c r="G8" s="4">
        <f>'Income Statement'!G20</f>
        <v>39.06</v>
      </c>
    </row>
    <row r="9" spans="2:7" ht="18.75" x14ac:dyDescent="0.25">
      <c r="B9" s="8" t="s">
        <v>59</v>
      </c>
      <c r="C9" s="4"/>
      <c r="D9" s="4">
        <f>'Income Statement'!D8</f>
        <v>588.96</v>
      </c>
      <c r="E9" s="4">
        <f>'Income Statement'!E8</f>
        <v>514.36</v>
      </c>
      <c r="F9" s="4">
        <f>'Income Statement'!F8</f>
        <v>351.6</v>
      </c>
      <c r="G9" s="4">
        <f>'Income Statement'!G8</f>
        <v>718.52</v>
      </c>
    </row>
    <row r="10" spans="2:7" ht="18.75" x14ac:dyDescent="0.25">
      <c r="B10" s="9" t="s">
        <v>132</v>
      </c>
      <c r="C10" s="6"/>
      <c r="D10" s="6">
        <f>D7+D8-D9</f>
        <v>-269.60000000000002</v>
      </c>
      <c r="E10" s="6">
        <f t="shared" ref="E10:G10" si="0">E7+E8-E9</f>
        <v>-209.55</v>
      </c>
      <c r="F10" s="6">
        <f t="shared" si="0"/>
        <v>-106.25000000000003</v>
      </c>
      <c r="G10" s="6">
        <f t="shared" si="0"/>
        <v>-391.71999999999997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-197.02000000000004</v>
      </c>
      <c r="E12" s="4">
        <f>'Balance Sheet'!D31-'Balance Sheet'!E31</f>
        <v>185.66000000000003</v>
      </c>
      <c r="F12" s="4">
        <f>'Balance Sheet'!E31-'Balance Sheet'!F31</f>
        <v>-11.20999999999998</v>
      </c>
      <c r="G12" s="4">
        <f>'Balance Sheet'!F31-'Balance Sheet'!G31</f>
        <v>-122.67000000000007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-14.640000000000015</v>
      </c>
      <c r="E13" s="4">
        <f>'Balance Sheet'!D32-'Balance Sheet'!E32</f>
        <v>-69.669999999999987</v>
      </c>
      <c r="F13" s="4">
        <f>'Balance Sheet'!E32-'Balance Sheet'!F32</f>
        <v>-34.79000000000002</v>
      </c>
      <c r="G13" s="4">
        <f>'Balance Sheet'!F32-'Balance Sheet'!G32</f>
        <v>218.4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-360.09000000000015</v>
      </c>
      <c r="E14" s="5">
        <f>'Balance Sheet'!D33-'Balance Sheet'!E33</f>
        <v>-89.159999999999854</v>
      </c>
      <c r="F14" s="5">
        <f>'Balance Sheet'!E33-'Balance Sheet'!F33</f>
        <v>-620.42999999999984</v>
      </c>
      <c r="G14" s="5">
        <f>'Balance Sheet'!F33-'Balance Sheet'!G33</f>
        <v>-753.89000000000033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0</v>
      </c>
      <c r="E15" s="4">
        <f>'Balance Sheet'!D34-'Balance Sheet'!E34</f>
        <v>0</v>
      </c>
      <c r="F15" s="4">
        <f>'Balance Sheet'!E34-'Balance Sheet'!F34</f>
        <v>0</v>
      </c>
      <c r="G15" s="4">
        <f>'Balance Sheet'!F34-'Balance Sheet'!G34</f>
        <v>0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91.680000000000064</v>
      </c>
      <c r="E16" s="5">
        <f>'Balance Sheet'!D35-'Balance Sheet'!E35</f>
        <v>-696.13999999999987</v>
      </c>
      <c r="F16" s="5">
        <f>'Balance Sheet'!E35-'Balance Sheet'!F35</f>
        <v>286.58999999999992</v>
      </c>
      <c r="G16" s="5">
        <f>'Balance Sheet'!F35-'Balance Sheet'!G35</f>
        <v>-1036.5700000000002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-94.479999999999905</v>
      </c>
      <c r="E17" s="5">
        <f>'Balance Sheet'!D36-'Balance Sheet'!E36</f>
        <v>-57.340000000000032</v>
      </c>
      <c r="F17" s="5">
        <f>'Balance Sheet'!E36-'Balance Sheet'!F36</f>
        <v>-198.21000000000004</v>
      </c>
      <c r="G17" s="5">
        <f>'Balance Sheet'!F36-'Balance Sheet'!G36</f>
        <v>-1243.18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48.230000000000018</v>
      </c>
      <c r="E18" s="5">
        <f>'Balance Sheet'!D37-'Balance Sheet'!E37</f>
        <v>-799.2</v>
      </c>
      <c r="F18" s="5">
        <f>'Balance Sheet'!E37-'Balance Sheet'!F37</f>
        <v>83.820000000000164</v>
      </c>
      <c r="G18" s="5">
        <f>'Balance Sheet'!F37-'Balance Sheet'!G37</f>
        <v>-814.41000000000031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54.399999999999977</v>
      </c>
      <c r="E20" s="5">
        <f>'Balance Sheet'!E14-'Balance Sheet'!D14</f>
        <v>59.440000000000055</v>
      </c>
      <c r="F20" s="5">
        <f>'Balance Sheet'!F14-'Balance Sheet'!E14</f>
        <v>117.44999999999993</v>
      </c>
      <c r="G20" s="5">
        <f>'Balance Sheet'!G14-'Balance Sheet'!F14</f>
        <v>147.05000000000007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13.840000000000003</v>
      </c>
      <c r="E21" s="4">
        <f>'Balance Sheet'!E15-'Balance Sheet'!D15</f>
        <v>181.32999999999998</v>
      </c>
      <c r="F21" s="4">
        <f>'Balance Sheet'!F15-'Balance Sheet'!E15</f>
        <v>-124.22</v>
      </c>
      <c r="G21" s="4">
        <f>'Balance Sheet'!G15-'Balance Sheet'!F15</f>
        <v>-83.43</v>
      </c>
    </row>
    <row r="22" spans="2:7" ht="18.75" x14ac:dyDescent="0.25">
      <c r="B22" s="8" t="str">
        <f>'Balance Sheet'!B16</f>
        <v>Other Long Term Liabilities</v>
      </c>
      <c r="C22" s="4"/>
      <c r="D22" s="4">
        <f>'Balance Sheet'!D16-'Balance Sheet'!C16</f>
        <v>0</v>
      </c>
      <c r="E22" s="4">
        <f>'Balance Sheet'!E16-'Balance Sheet'!D16</f>
        <v>5.83</v>
      </c>
      <c r="F22" s="4">
        <f>'Balance Sheet'!F16-'Balance Sheet'!E16</f>
        <v>-1.1299999999999999</v>
      </c>
      <c r="G22" s="4">
        <f>'Balance Sheet'!G16-'Balance Sheet'!F16</f>
        <v>145.58000000000001</v>
      </c>
    </row>
    <row r="23" spans="2:7" ht="18.75" x14ac:dyDescent="0.25">
      <c r="B23" s="8" t="str">
        <f>'Balance Sheet'!B17</f>
        <v>Trade Payables</v>
      </c>
      <c r="C23" s="4"/>
      <c r="D23" s="4">
        <f>'Balance Sheet'!D17-'Balance Sheet'!C17</f>
        <v>43.150000000000006</v>
      </c>
      <c r="E23" s="4">
        <f>'Balance Sheet'!E17-'Balance Sheet'!D17</f>
        <v>23.110000000000014</v>
      </c>
      <c r="F23" s="4">
        <f>'Balance Sheet'!F17-'Balance Sheet'!E17</f>
        <v>134.87999999999997</v>
      </c>
      <c r="G23" s="4">
        <f>'Balance Sheet'!G17-'Balance Sheet'!F17</f>
        <v>606.75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-401.13000000000011</v>
      </c>
      <c r="E24" s="5">
        <f>'Balance Sheet'!E18-'Balance Sheet'!D18</f>
        <v>-691.15999999999985</v>
      </c>
      <c r="F24" s="5">
        <f>'Balance Sheet'!F18-'Balance Sheet'!E18</f>
        <v>1863.02</v>
      </c>
      <c r="G24" s="5">
        <f>'Balance Sheet'!G18-'Balance Sheet'!F18</f>
        <v>506.73999999999978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2556.5300000000002</v>
      </c>
      <c r="E26" s="5">
        <f>'Income Statement'!E26</f>
        <v>2512.7199999999998</v>
      </c>
      <c r="F26" s="5">
        <f>'Income Statement'!F26</f>
        <v>2648.45</v>
      </c>
      <c r="G26" s="5">
        <f>'Income Statement'!G26</f>
        <v>3582.25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3472.0900000000015</v>
      </c>
      <c r="E27" s="7">
        <f t="shared" ref="E27:G27" si="1">E12+E13+E14+E15+E16+E17+E18+E20+E21+E22+E23+E24-E26+E10+E5</f>
        <v>1391.2000000000016</v>
      </c>
      <c r="F27" s="7">
        <f t="shared" si="1"/>
        <v>7474.7699999999986</v>
      </c>
      <c r="G27" s="7">
        <f t="shared" si="1"/>
        <v>5370.1399999999985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-48.900000000000091</v>
      </c>
      <c r="E29" s="5">
        <f>'Balance Sheet'!D23-'Balance Sheet'!E23</f>
        <v>-62.4399999999996</v>
      </c>
      <c r="F29" s="5">
        <f>'Balance Sheet'!E23-'Balance Sheet'!F23</f>
        <v>-60</v>
      </c>
      <c r="G29" s="5">
        <f>'Balance Sheet'!F23-'Balance Sheet'!G23</f>
        <v>-19709.43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-6.2999999999999829</v>
      </c>
      <c r="E30" s="4">
        <f>'Balance Sheet'!D24-'Balance Sheet'!E24</f>
        <v>-234.65000000000003</v>
      </c>
      <c r="F30" s="4">
        <f>'Balance Sheet'!E24-'Balance Sheet'!F24</f>
        <v>-63.910000000000025</v>
      </c>
      <c r="G30" s="4">
        <f>'Balance Sheet'!F24-'Balance Sheet'!G24</f>
        <v>518.57000000000005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-186.14</v>
      </c>
      <c r="E31" s="4">
        <f>'Balance Sheet'!D27-'Balance Sheet'!E27</f>
        <v>-51.230000000000018</v>
      </c>
      <c r="F31" s="4">
        <f>'Balance Sheet'!E27-'Balance Sheet'!F27</f>
        <v>35.200000000000045</v>
      </c>
      <c r="G31" s="4">
        <f>'Balance Sheet'!F27-'Balance Sheet'!G27</f>
        <v>-20.050000000000068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0</v>
      </c>
      <c r="E32" s="4">
        <f>'Balance Sheet'!D28-'Balance Sheet'!E28</f>
        <v>0</v>
      </c>
      <c r="F32" s="4">
        <f>'Balance Sheet'!E28-'Balance Sheet'!F28</f>
        <v>0</v>
      </c>
      <c r="G32" s="4">
        <f>'Balance Sheet'!F28-'Balance Sheet'!G28</f>
        <v>0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-1179.9500000000007</v>
      </c>
      <c r="E33" s="5">
        <f>'Balance Sheet'!D29-'Balance Sheet'!E29</f>
        <v>-1681.3199999999997</v>
      </c>
      <c r="F33" s="5">
        <f>'Balance Sheet'!E29-'Balance Sheet'!F29</f>
        <v>-1606.2899999999991</v>
      </c>
      <c r="G33" s="5">
        <f>'Balance Sheet'!F29-'Balance Sheet'!G29</f>
        <v>17106.509999999998</v>
      </c>
    </row>
    <row r="34" spans="2:7" ht="18.75" x14ac:dyDescent="0.25">
      <c r="B34" s="8" t="s">
        <v>59</v>
      </c>
      <c r="C34" s="4"/>
      <c r="D34" s="4">
        <f>'Income Statement'!D8</f>
        <v>588.96</v>
      </c>
      <c r="E34" s="4">
        <f>'Income Statement'!E8</f>
        <v>514.36</v>
      </c>
      <c r="F34" s="4">
        <f>'Income Statement'!F8</f>
        <v>351.6</v>
      </c>
      <c r="G34" s="4">
        <f>'Income Statement'!G8</f>
        <v>718.52</v>
      </c>
    </row>
    <row r="35" spans="2:7" ht="18.75" x14ac:dyDescent="0.25">
      <c r="B35" s="9" t="s">
        <v>137</v>
      </c>
      <c r="C35" s="6"/>
      <c r="D35" s="7">
        <f>D29+D30+D31+D32+D33+D34</f>
        <v>-832.33000000000084</v>
      </c>
      <c r="E35" s="7">
        <f t="shared" ref="E35:G35" si="2">E29+E30+E31+E32+E33+E34</f>
        <v>-1515.2799999999993</v>
      </c>
      <c r="F35" s="7">
        <f t="shared" si="2"/>
        <v>-1343.3999999999992</v>
      </c>
      <c r="G35" s="7">
        <f t="shared" si="2"/>
        <v>-1385.8800000000015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-10.199999999999989</v>
      </c>
      <c r="E37" s="4">
        <f>'Balance Sheet'!E5-'Balance Sheet'!D5</f>
        <v>0</v>
      </c>
      <c r="F37" s="4">
        <f>'Balance Sheet'!F5-'Balance Sheet'!E5</f>
        <v>-13.120000000000005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0</v>
      </c>
      <c r="E39" s="5">
        <f>'Balance Sheet'!E10-'Balance Sheet'!D10</f>
        <v>0</v>
      </c>
      <c r="F39" s="5">
        <f>'Balance Sheet'!F10-'Balance Sheet'!E10</f>
        <v>546.42999999999995</v>
      </c>
      <c r="G39" s="5">
        <f>'Balance Sheet'!G10-'Balance Sheet'!F10</f>
        <v>1127.6399999999999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0</v>
      </c>
      <c r="E40" s="4">
        <f>'Balance Sheet'!E11-'Balance Sheet'!D11</f>
        <v>0</v>
      </c>
      <c r="F40" s="4">
        <f>'Balance Sheet'!F11-'Balance Sheet'!E11</f>
        <v>0</v>
      </c>
      <c r="G40" s="4">
        <f>'Balance Sheet'!G11-'Balance Sheet'!F11</f>
        <v>0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-135.94</v>
      </c>
      <c r="E41" s="5">
        <f>'Balance Sheet'!E12-'Balance Sheet'!D12</f>
        <v>201.42000000000007</v>
      </c>
      <c r="F41" s="5">
        <f>'Balance Sheet'!F12-'Balance Sheet'!E12</f>
        <v>882.46999999999991</v>
      </c>
      <c r="G41" s="5">
        <f>'Balance Sheet'!G12-'Balance Sheet'!F12</f>
        <v>368.68000000000006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-1</v>
      </c>
      <c r="E42" s="4">
        <f>'Balance Sheet'!E20-'Balance Sheet'!D20</f>
        <v>-5.84</v>
      </c>
      <c r="F42" s="4">
        <f>'Balance Sheet'!F20-'Balance Sheet'!E20</f>
        <v>5.4899999999999984</v>
      </c>
      <c r="G42" s="4">
        <f>'Balance Sheet'!G20-'Balance Sheet'!F20</f>
        <v>-8.9999999999999858E-2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1690.14</v>
      </c>
      <c r="E44" s="5">
        <f>'Income Statement'!E28</f>
        <v>1619.72</v>
      </c>
      <c r="F44" s="5">
        <f>'Income Statement'!F28</f>
        <v>2274.15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347.41</v>
      </c>
      <c r="E45" s="4">
        <f>'Income Statement'!E29</f>
        <v>332.94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40.32</v>
      </c>
      <c r="E46" s="4">
        <f>'Income Statement'!E20</f>
        <v>9.8800000000000008</v>
      </c>
      <c r="F46" s="4">
        <f>'Income Statement'!F20</f>
        <v>16.809999999999999</v>
      </c>
      <c r="G46" s="4">
        <f>'Income Statement'!G20</f>
        <v>39.06</v>
      </c>
    </row>
    <row r="47" spans="2:7" ht="18.75" x14ac:dyDescent="0.25">
      <c r="B47" s="9" t="s">
        <v>141</v>
      </c>
      <c r="C47" s="6"/>
      <c r="D47" s="7">
        <f>D37+D38+D39+D40+D41+D42-D44-D45-D46</f>
        <v>-2225.0100000000002</v>
      </c>
      <c r="E47" s="7">
        <f t="shared" ref="E47:G47" si="3">E37+E38+E39+E40+E41+E42-E44-E45-E46</f>
        <v>-1766.96</v>
      </c>
      <c r="F47" s="7">
        <f t="shared" si="3"/>
        <v>-869.69000000000028</v>
      </c>
      <c r="G47" s="7">
        <f t="shared" si="3"/>
        <v>1457.17</v>
      </c>
    </row>
    <row r="48" spans="2:7" ht="18.75" x14ac:dyDescent="0.25">
      <c r="B48" s="9" t="s">
        <v>142</v>
      </c>
      <c r="C48" s="6"/>
      <c r="D48" s="7">
        <f>D27+D35+D47</f>
        <v>414.75000000000045</v>
      </c>
      <c r="E48" s="7">
        <f t="shared" ref="E48:G48" si="4">E27+E35+E47</f>
        <v>-1891.0399999999977</v>
      </c>
      <c r="F48" s="7">
        <f t="shared" si="4"/>
        <v>5261.6799999999985</v>
      </c>
      <c r="G48" s="7">
        <f t="shared" si="4"/>
        <v>5441.4299999999967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9E9EE-E767-4B45-91C9-C773AA3438A0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3.5703125" bestFit="1" customWidth="1"/>
    <col min="7" max="7" width="14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3764.0099999999984</v>
      </c>
      <c r="D6" s="16">
        <f>'Income Statement'!D27</f>
        <v>4557.7500000000018</v>
      </c>
      <c r="E6" s="16">
        <f>'Income Statement'!E27</f>
        <v>3548.0500000000015</v>
      </c>
      <c r="F6" s="16">
        <f>'Income Statement'!F27</f>
        <v>6085.2499999999991</v>
      </c>
      <c r="G6" s="16">
        <f>'Income Statement'!G27</f>
        <v>8191.49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12</v>
      </c>
      <c r="D8" s="17">
        <f t="shared" ref="D8:G8" si="0">ROUND(D6/D7, 2)</f>
        <v>15</v>
      </c>
      <c r="E8" s="17">
        <f t="shared" si="0"/>
        <v>12</v>
      </c>
      <c r="F8" s="17">
        <f t="shared" si="0"/>
        <v>21</v>
      </c>
      <c r="G8" s="17">
        <f t="shared" si="0"/>
        <v>32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1676.86</v>
      </c>
      <c r="D11" s="16">
        <f>'Income Statement'!D28</f>
        <v>1690.14</v>
      </c>
      <c r="E11" s="16">
        <f>'Income Statement'!E28</f>
        <v>1619.72</v>
      </c>
      <c r="F11" s="16">
        <f>'Income Statement'!F28</f>
        <v>2274.15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313.66749999999985</v>
      </c>
      <c r="D12" s="16">
        <f>'Income Statement'!D35</f>
        <v>303.85000000000014</v>
      </c>
      <c r="E12" s="16">
        <f>'Income Statement'!E35</f>
        <v>295.67083333333346</v>
      </c>
      <c r="F12" s="16">
        <f>'Income Statement'!F35</f>
        <v>289.77380952380946</v>
      </c>
      <c r="G12" s="16">
        <f>'Income Statement'!G35</f>
        <v>255.98406249999999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5.35</v>
      </c>
      <c r="D13" s="17">
        <f t="shared" ref="D13:G13" si="1">ROUND(D11/D12, 2)</f>
        <v>5.56</v>
      </c>
      <c r="E13" s="17">
        <f t="shared" si="1"/>
        <v>5.48</v>
      </c>
      <c r="F13" s="17">
        <f t="shared" si="1"/>
        <v>7.85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24417.41</v>
      </c>
      <c r="D16" s="16">
        <f>'Balance Sheet'!D9</f>
        <v>26927.41</v>
      </c>
      <c r="E16" s="16">
        <f>'Balance Sheet'!E9</f>
        <v>28522.800000000003</v>
      </c>
      <c r="F16" s="16">
        <f>'Balance Sheet'!F9</f>
        <v>32320.780000000002</v>
      </c>
      <c r="G16" s="16">
        <f>'Balance Sheet'!G9</f>
        <v>40512.270000000004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313.66749999999985</v>
      </c>
      <c r="D17" s="16">
        <f>'Income Statement'!D35</f>
        <v>303.85000000000014</v>
      </c>
      <c r="E17" s="16">
        <f>'Income Statement'!E35</f>
        <v>295.67083333333346</v>
      </c>
      <c r="F17" s="16">
        <f>'Income Statement'!F35</f>
        <v>289.77380952380946</v>
      </c>
      <c r="G17" s="16">
        <f>'Income Statement'!G35</f>
        <v>255.98406249999999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77.84</v>
      </c>
      <c r="D18" s="17">
        <f t="shared" ref="D18:G18" si="2">ROUND(D16/D17, 2)</f>
        <v>88.62</v>
      </c>
      <c r="E18" s="17">
        <f t="shared" si="2"/>
        <v>96.47</v>
      </c>
      <c r="F18" s="17">
        <f t="shared" si="2"/>
        <v>111.54</v>
      </c>
      <c r="G18" s="17">
        <f t="shared" si="2"/>
        <v>158.26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1676.86</v>
      </c>
      <c r="D21" s="16">
        <f>'Income Statement'!D28</f>
        <v>1690.14</v>
      </c>
      <c r="E21" s="16">
        <f>'Income Statement'!E28</f>
        <v>1619.72</v>
      </c>
      <c r="F21" s="16">
        <f>'Income Statement'!F28</f>
        <v>2274.15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313.66749999999985</v>
      </c>
      <c r="D22" s="16">
        <f>'Income Statement'!D35</f>
        <v>303.85000000000014</v>
      </c>
      <c r="E22" s="16">
        <f>'Income Statement'!E35</f>
        <v>295.67083333333346</v>
      </c>
      <c r="F22" s="16">
        <f>'Income Statement'!F35</f>
        <v>289.77380952380946</v>
      </c>
      <c r="G22" s="16">
        <f>'Income Statement'!G35</f>
        <v>255.98406249999999</v>
      </c>
    </row>
    <row r="23" spans="2:12" ht="18.75" x14ac:dyDescent="0.25">
      <c r="B23" s="15" t="s">
        <v>148</v>
      </c>
      <c r="C23" s="16">
        <f>ROUND(C21/C22, 2)</f>
        <v>5.35</v>
      </c>
      <c r="D23" s="16">
        <f t="shared" ref="D23:G23" si="3">ROUND(D21/D22, 2)</f>
        <v>5.56</v>
      </c>
      <c r="E23" s="16">
        <f t="shared" si="3"/>
        <v>5.48</v>
      </c>
      <c r="F23" s="16">
        <f t="shared" si="3"/>
        <v>7.85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3764.0099999999984</v>
      </c>
      <c r="D24" s="16">
        <f>'Income Statement'!D27</f>
        <v>4557.7500000000018</v>
      </c>
      <c r="E24" s="16">
        <f>'Income Statement'!E27</f>
        <v>3548.0500000000015</v>
      </c>
      <c r="F24" s="16">
        <f>'Income Statement'!F27</f>
        <v>6085.2499999999991</v>
      </c>
      <c r="G24" s="16">
        <f>'Income Statement'!G27</f>
        <v>8191.49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313.66749999999985</v>
      </c>
      <c r="D25" s="16">
        <f>'Income Statement'!D35</f>
        <v>303.85000000000014</v>
      </c>
      <c r="E25" s="16">
        <f>'Income Statement'!E35</f>
        <v>295.67083333333346</v>
      </c>
      <c r="F25" s="16">
        <f>'Income Statement'!F35</f>
        <v>289.77380952380946</v>
      </c>
      <c r="G25" s="16">
        <f>'Income Statement'!G35</f>
        <v>255.98406249999999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12</v>
      </c>
      <c r="D26" s="16">
        <f t="shared" ref="D26:G26" si="4">D24/D25</f>
        <v>15</v>
      </c>
      <c r="E26" s="16">
        <f t="shared" si="4"/>
        <v>12</v>
      </c>
      <c r="F26" s="16">
        <f t="shared" si="4"/>
        <v>21</v>
      </c>
      <c r="G26" s="16">
        <f t="shared" si="4"/>
        <v>32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0.45</v>
      </c>
      <c r="D27" s="17">
        <f t="shared" ref="D27:G27" si="5">ROUND(D23/D26, 2)</f>
        <v>0.37</v>
      </c>
      <c r="E27" s="17">
        <f t="shared" si="5"/>
        <v>0.46</v>
      </c>
      <c r="F27" s="17">
        <f t="shared" si="5"/>
        <v>0.37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1676.86</v>
      </c>
      <c r="D30" s="16">
        <f>'Income Statement'!D28</f>
        <v>1690.14</v>
      </c>
      <c r="E30" s="16">
        <f>'Income Statement'!E28</f>
        <v>1619.72</v>
      </c>
      <c r="F30" s="16">
        <f>'Income Statement'!F28</f>
        <v>2274.15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313.66749999999985</v>
      </c>
      <c r="D31" s="16">
        <f>'Income Statement'!D35</f>
        <v>303.85000000000014</v>
      </c>
      <c r="E31" s="16">
        <f>'Income Statement'!E35</f>
        <v>295.67083333333346</v>
      </c>
      <c r="F31" s="16">
        <f>'Income Statement'!F35</f>
        <v>289.77380952380946</v>
      </c>
      <c r="G31" s="16">
        <f>'Income Statement'!G35</f>
        <v>255.98406249999999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5.35</v>
      </c>
      <c r="D32" s="16">
        <f t="shared" ref="D32:G32" si="6">ROUND(D30/D31, 2)</f>
        <v>5.56</v>
      </c>
      <c r="E32" s="16">
        <f t="shared" si="6"/>
        <v>5.48</v>
      </c>
      <c r="F32" s="16">
        <f t="shared" si="6"/>
        <v>7.85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-4.3499999999999996</v>
      </c>
      <c r="D33" s="27">
        <f t="shared" ref="D33:G33" si="7">1-D32</f>
        <v>-4.5599999999999996</v>
      </c>
      <c r="E33" s="27">
        <f t="shared" si="7"/>
        <v>-4.4800000000000004</v>
      </c>
      <c r="F33" s="27">
        <f t="shared" si="7"/>
        <v>-6.85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11614.17</v>
      </c>
      <c r="D36" s="16">
        <f>'Income Statement'!D5</f>
        <v>12152.15</v>
      </c>
      <c r="E36" s="16">
        <f>'Income Statement'!E5</f>
        <v>11698.79</v>
      </c>
      <c r="F36" s="16">
        <f>'Income Statement'!F5</f>
        <v>15370.05</v>
      </c>
      <c r="G36" s="16">
        <f>'Income Statement'!G5</f>
        <v>25881.73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386.9</v>
      </c>
      <c r="D37" s="16">
        <f>'Income Statement'!D11</f>
        <v>426.42</v>
      </c>
      <c r="E37" s="16">
        <f>'Income Statement'!E11</f>
        <v>394.36</v>
      </c>
      <c r="F37" s="16">
        <f>'Income Statement'!F11</f>
        <v>410.24</v>
      </c>
      <c r="G37" s="16">
        <f>'Income Statement'!G11</f>
        <v>106.95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11227.27</v>
      </c>
      <c r="D38" s="28">
        <f t="shared" ref="D38:G38" si="8">ROUND(D36- D37, 2)</f>
        <v>11725.73</v>
      </c>
      <c r="E38" s="28">
        <f t="shared" si="8"/>
        <v>11304.43</v>
      </c>
      <c r="F38" s="28">
        <f t="shared" si="8"/>
        <v>14959.81</v>
      </c>
      <c r="G38" s="28">
        <f t="shared" si="8"/>
        <v>25774.78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11614.17</v>
      </c>
      <c r="D41" s="16">
        <f>'Income Statement'!D5</f>
        <v>12152.15</v>
      </c>
      <c r="E41" s="16">
        <f>'Income Statement'!E5</f>
        <v>11698.79</v>
      </c>
      <c r="F41" s="16">
        <f>'Income Statement'!F5</f>
        <v>15370.05</v>
      </c>
      <c r="G41" s="16">
        <f>'Income Statement'!G5</f>
        <v>25881.73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5850.6</v>
      </c>
      <c r="D42" s="16">
        <f>'Income Statement'!D15</f>
        <v>5307.4699999999993</v>
      </c>
      <c r="E42" s="16">
        <f>'Income Statement'!E15</f>
        <v>5751.13</v>
      </c>
      <c r="F42" s="16">
        <f>'Income Statement'!F15</f>
        <v>6742.5999999999995</v>
      </c>
      <c r="G42" s="16">
        <f>'Income Statement'!G15</f>
        <v>14499.710000000001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5763.57</v>
      </c>
      <c r="D43" s="28">
        <f t="shared" ref="D43:G43" si="9">ROUND(D41- D42, 2)</f>
        <v>6844.68</v>
      </c>
      <c r="E43" s="28">
        <f t="shared" si="9"/>
        <v>5947.66</v>
      </c>
      <c r="F43" s="28">
        <f t="shared" si="9"/>
        <v>8627.4500000000007</v>
      </c>
      <c r="G43" s="28">
        <f t="shared" si="9"/>
        <v>11382.02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3764.0099999999984</v>
      </c>
      <c r="D46" s="16">
        <f>'Income Statement'!D27</f>
        <v>4557.7500000000018</v>
      </c>
      <c r="E46" s="16">
        <f>'Income Statement'!E27</f>
        <v>3548.0500000000015</v>
      </c>
      <c r="F46" s="16">
        <f>'Income Statement'!F27</f>
        <v>6085.2499999999991</v>
      </c>
      <c r="G46" s="16">
        <f>'Income Statement'!G27</f>
        <v>8191.49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28691.32</v>
      </c>
      <c r="D47" s="16">
        <f>'Balance Sheet'!D40</f>
        <v>30774.639999999999</v>
      </c>
      <c r="E47" s="16">
        <f>'Balance Sheet'!E40</f>
        <v>32144.160000000003</v>
      </c>
      <c r="F47" s="16">
        <f>'Balance Sheet'!F40</f>
        <v>39366.53</v>
      </c>
      <c r="G47" s="16">
        <f>'Balance Sheet'!G40</f>
        <v>50376.94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0.13</v>
      </c>
      <c r="D48" s="27">
        <f t="shared" ref="D48:G48" si="10">ROUND(D46/ D47, 2)</f>
        <v>0.15</v>
      </c>
      <c r="E48" s="27">
        <f t="shared" si="10"/>
        <v>0.11</v>
      </c>
      <c r="F48" s="27">
        <f t="shared" si="10"/>
        <v>0.15</v>
      </c>
      <c r="G48" s="27">
        <f t="shared" si="10"/>
        <v>0.16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6030.1499999999987</v>
      </c>
      <c r="D51" s="16">
        <f>'Income Statement'!D19</f>
        <v>7154.6000000000013</v>
      </c>
      <c r="E51" s="16">
        <f>'Income Statement'!E19</f>
        <v>6167.0900000000011</v>
      </c>
      <c r="F51" s="16">
        <f>'Income Statement'!F19</f>
        <v>8750.5099999999984</v>
      </c>
      <c r="G51" s="16">
        <f>'Income Statement'!G19</f>
        <v>11812.8</v>
      </c>
    </row>
    <row r="52" spans="2:12" ht="19.5" thickTop="1" x14ac:dyDescent="0.25">
      <c r="B52" s="15" t="str">
        <f>'Balance Sheet'!B13</f>
        <v>Total Debt</v>
      </c>
      <c r="C52" s="16">
        <f>'Balance Sheet'!C13</f>
        <v>500.09</v>
      </c>
      <c r="D52" s="16">
        <f>'Balance Sheet'!D13</f>
        <v>364.15</v>
      </c>
      <c r="E52" s="16">
        <f>'Balance Sheet'!E13</f>
        <v>565.57000000000005</v>
      </c>
      <c r="F52" s="16">
        <f>'Balance Sheet'!F13</f>
        <v>1994.4699999999998</v>
      </c>
      <c r="G52" s="16">
        <f>'Balance Sheet'!G13</f>
        <v>3490.79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24417.41</v>
      </c>
      <c r="D53" s="16">
        <f>'Balance Sheet'!D9</f>
        <v>26927.41</v>
      </c>
      <c r="E53" s="16">
        <f>'Balance Sheet'!E9</f>
        <v>28522.800000000003</v>
      </c>
      <c r="F53" s="16">
        <f>'Balance Sheet'!F9</f>
        <v>32320.780000000002</v>
      </c>
      <c r="G53" s="16">
        <f>'Balance Sheet'!G9</f>
        <v>40512.270000000004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6.03</v>
      </c>
      <c r="D54" s="27">
        <f t="shared" ref="D54:G54" si="11">ROUND(D51/ (D52+ D52), 2)</f>
        <v>9.82</v>
      </c>
      <c r="E54" s="27">
        <f t="shared" si="11"/>
        <v>5.45</v>
      </c>
      <c r="F54" s="27">
        <f t="shared" si="11"/>
        <v>2.19</v>
      </c>
      <c r="G54" s="27">
        <f t="shared" si="11"/>
        <v>1.69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3764.0099999999984</v>
      </c>
      <c r="D57" s="16">
        <f>'Income Statement'!D27</f>
        <v>4557.7500000000018</v>
      </c>
      <c r="E57" s="16">
        <f>'Income Statement'!E27</f>
        <v>3548.0500000000015</v>
      </c>
      <c r="F57" s="16">
        <f>'Income Statement'!F27</f>
        <v>6085.2499999999991</v>
      </c>
      <c r="G57" s="16">
        <f>'Income Statement'!G27</f>
        <v>8191.49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24417.41</v>
      </c>
      <c r="D58" s="16">
        <f>'Balance Sheet'!D9</f>
        <v>26927.41</v>
      </c>
      <c r="E58" s="16">
        <f>'Balance Sheet'!E9</f>
        <v>28522.800000000003</v>
      </c>
      <c r="F58" s="16">
        <f>'Balance Sheet'!F9</f>
        <v>32320.780000000002</v>
      </c>
      <c r="G58" s="16">
        <f>'Balance Sheet'!G9</f>
        <v>40512.270000000004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0.08</v>
      </c>
      <c r="D59" s="27">
        <f t="shared" ref="D59:G59" si="12">ROUND(D57/ (D58+ D58), 2)</f>
        <v>0.08</v>
      </c>
      <c r="E59" s="27">
        <f t="shared" si="12"/>
        <v>0.06</v>
      </c>
      <c r="F59" s="27">
        <f t="shared" si="12"/>
        <v>0.09</v>
      </c>
      <c r="G59" s="27">
        <f t="shared" si="12"/>
        <v>0.1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500.09</v>
      </c>
      <c r="D62" s="16">
        <f>'Balance Sheet'!D13</f>
        <v>364.15</v>
      </c>
      <c r="E62" s="16">
        <f>'Balance Sheet'!E13</f>
        <v>565.57000000000005</v>
      </c>
      <c r="F62" s="16">
        <f>'Balance Sheet'!F13</f>
        <v>1994.4699999999998</v>
      </c>
      <c r="G62" s="16">
        <f>'Balance Sheet'!G13</f>
        <v>3490.79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24417.41</v>
      </c>
      <c r="D63" s="16">
        <f>'Balance Sheet'!D9</f>
        <v>26927.41</v>
      </c>
      <c r="E63" s="16">
        <f>'Balance Sheet'!E9</f>
        <v>28522.800000000003</v>
      </c>
      <c r="F63" s="16">
        <f>'Balance Sheet'!F9</f>
        <v>32320.780000000002</v>
      </c>
      <c r="G63" s="16">
        <f>'Balance Sheet'!G9</f>
        <v>40512.270000000004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0.02</v>
      </c>
      <c r="D64" s="17">
        <f t="shared" ref="D64:G64" si="13">ROUND(D62/ D63, 2)</f>
        <v>0.01</v>
      </c>
      <c r="E64" s="17">
        <f t="shared" si="13"/>
        <v>0.02</v>
      </c>
      <c r="F64" s="17">
        <f t="shared" si="13"/>
        <v>0.06</v>
      </c>
      <c r="G64" s="17">
        <f t="shared" si="13"/>
        <v>0.09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12016.32</v>
      </c>
      <c r="D67" s="16">
        <f>'Balance Sheet'!D39</f>
        <v>12957.39</v>
      </c>
      <c r="E67" s="16">
        <f>'Balance Sheet'!E39</f>
        <v>12592.200000000003</v>
      </c>
      <c r="F67" s="16">
        <f>'Balance Sheet'!F39</f>
        <v>18348.11</v>
      </c>
      <c r="G67" s="16">
        <f>'Balance Sheet'!G39</f>
        <v>27541.86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3758.93</v>
      </c>
      <c r="D68" s="16">
        <f>'Balance Sheet'!D19</f>
        <v>3469.1899999999996</v>
      </c>
      <c r="E68" s="16">
        <f>'Balance Sheet'!E19</f>
        <v>3047.74</v>
      </c>
      <c r="F68" s="16">
        <f>'Balance Sheet'!F19</f>
        <v>5037.74</v>
      </c>
      <c r="G68" s="16">
        <f>'Balance Sheet'!G19</f>
        <v>6360.43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3.2</v>
      </c>
      <c r="D69" s="17">
        <f t="shared" ref="D69:G69" si="14">ROUND(D67/ D68, 2)</f>
        <v>3.73</v>
      </c>
      <c r="E69" s="17">
        <f t="shared" si="14"/>
        <v>4.13</v>
      </c>
      <c r="F69" s="17">
        <f t="shared" si="14"/>
        <v>3.64</v>
      </c>
      <c r="G69" s="17">
        <f t="shared" si="14"/>
        <v>4.33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12016.32</v>
      </c>
      <c r="D72" s="16">
        <f>'Balance Sheet'!D39</f>
        <v>12957.39</v>
      </c>
      <c r="E72" s="16">
        <f>'Balance Sheet'!E39</f>
        <v>12592.200000000003</v>
      </c>
      <c r="F72" s="16">
        <f>'Balance Sheet'!F39</f>
        <v>18348.11</v>
      </c>
      <c r="G72" s="16">
        <f>'Balance Sheet'!G39</f>
        <v>27541.86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571.69000000000005</v>
      </c>
      <c r="D73" s="16">
        <f>'Balance Sheet'!D36</f>
        <v>666.17</v>
      </c>
      <c r="E73" s="16">
        <f>'Balance Sheet'!E36</f>
        <v>723.51</v>
      </c>
      <c r="F73" s="16">
        <f>'Balance Sheet'!F36</f>
        <v>921.72</v>
      </c>
      <c r="G73" s="16">
        <f>'Balance Sheet'!G36</f>
        <v>2164.9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3758.93</v>
      </c>
      <c r="D74" s="16">
        <f>'Balance Sheet'!D19</f>
        <v>3469.1899999999996</v>
      </c>
      <c r="E74" s="16">
        <f>'Balance Sheet'!E19</f>
        <v>3047.74</v>
      </c>
      <c r="F74" s="16">
        <f>'Balance Sheet'!F19</f>
        <v>5037.74</v>
      </c>
      <c r="G74" s="16">
        <f>'Balance Sheet'!G19</f>
        <v>6360.43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3.04</v>
      </c>
      <c r="D75" s="17">
        <f t="shared" ref="D75:G75" si="15">ROUND((D72-D73)/ D74, 2)</f>
        <v>3.54</v>
      </c>
      <c r="E75" s="17">
        <f t="shared" si="15"/>
        <v>3.89</v>
      </c>
      <c r="F75" s="17">
        <f t="shared" si="15"/>
        <v>3.46</v>
      </c>
      <c r="G75" s="17">
        <f t="shared" si="15"/>
        <v>3.99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6030.1499999999987</v>
      </c>
      <c r="D78" s="16">
        <f>'Income Statement'!D19</f>
        <v>7154.6000000000013</v>
      </c>
      <c r="E78" s="16">
        <f>'Income Statement'!E19</f>
        <v>6167.0900000000011</v>
      </c>
      <c r="F78" s="16">
        <f>'Income Statement'!F19</f>
        <v>8750.5099999999984</v>
      </c>
      <c r="G78" s="16">
        <f>'Income Statement'!G19</f>
        <v>11812.8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37.1</v>
      </c>
      <c r="D79" s="16">
        <f>'Income Statement'!D20</f>
        <v>40.32</v>
      </c>
      <c r="E79" s="16">
        <f>'Income Statement'!E20</f>
        <v>9.8800000000000008</v>
      </c>
      <c r="F79" s="16">
        <f>'Income Statement'!F20</f>
        <v>16.809999999999999</v>
      </c>
      <c r="G79" s="16">
        <f>'Income Statement'!G20</f>
        <v>39.06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162.54</v>
      </c>
      <c r="D80" s="17">
        <f t="shared" ref="D80:G80" si="16">ROUND(D78/D79, 2)</f>
        <v>177.45</v>
      </c>
      <c r="E80" s="17">
        <f t="shared" si="16"/>
        <v>624.20000000000005</v>
      </c>
      <c r="F80" s="17">
        <f t="shared" si="16"/>
        <v>520.54999999999995</v>
      </c>
      <c r="G80" s="17">
        <f t="shared" si="16"/>
        <v>302.43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386.9</v>
      </c>
      <c r="D83" s="16">
        <f>'Income Statement'!D11</f>
        <v>426.42</v>
      </c>
      <c r="E83" s="16">
        <f>'Income Statement'!E11</f>
        <v>394.36</v>
      </c>
      <c r="F83" s="16">
        <f>'Income Statement'!F11</f>
        <v>410.24</v>
      </c>
      <c r="G83" s="16">
        <f>'Income Statement'!G11</f>
        <v>106.95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11614.16</v>
      </c>
      <c r="D84" s="16">
        <f>'Income Statement'!D7</f>
        <v>12152.15</v>
      </c>
      <c r="E84" s="16">
        <f>'Income Statement'!E7</f>
        <v>11698.79</v>
      </c>
      <c r="F84" s="16">
        <f>'Income Statement'!F7</f>
        <v>15370.05</v>
      </c>
      <c r="G84" s="16">
        <f>'Income Statement'!G7</f>
        <v>25881.73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0.03</v>
      </c>
      <c r="D85" s="17">
        <f t="shared" ref="D85:G85" si="17">ROUND(D83/D84, 2)</f>
        <v>0.04</v>
      </c>
      <c r="E85" s="17">
        <f t="shared" si="17"/>
        <v>0.03</v>
      </c>
      <c r="F85" s="17">
        <f t="shared" si="17"/>
        <v>0.03</v>
      </c>
      <c r="G85" s="17">
        <f t="shared" si="17"/>
        <v>0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5460.98</v>
      </c>
      <c r="D88" s="16">
        <f>'Balance Sheet'!D38</f>
        <v>5875.73</v>
      </c>
      <c r="E88" s="16">
        <f>'Balance Sheet'!E38</f>
        <v>3984.6900000000019</v>
      </c>
      <c r="F88" s="16">
        <f>'Balance Sheet'!F38</f>
        <v>9246.3700000000008</v>
      </c>
      <c r="G88" s="16">
        <f>'Balance Sheet'!G38</f>
        <v>14687.799999999997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386.9</v>
      </c>
      <c r="D89" s="16">
        <f>'Income Statement'!D11</f>
        <v>426.42</v>
      </c>
      <c r="E89" s="16">
        <f>'Income Statement'!E11</f>
        <v>394.36</v>
      </c>
      <c r="F89" s="16">
        <f>'Income Statement'!F11</f>
        <v>410.24</v>
      </c>
      <c r="G89" s="16">
        <f>'Income Statement'!G11</f>
        <v>106.95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5151.87</v>
      </c>
      <c r="D90" s="17">
        <f t="shared" ref="D90:G90" si="18">ROUND(D88/D89*365, 2)</f>
        <v>5029.41</v>
      </c>
      <c r="E90" s="17">
        <f t="shared" si="18"/>
        <v>3688.03</v>
      </c>
      <c r="F90" s="17">
        <f t="shared" si="18"/>
        <v>8226.7099999999991</v>
      </c>
      <c r="G90" s="17">
        <f t="shared" si="18"/>
        <v>50126.67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5460.98</v>
      </c>
      <c r="D93" s="16">
        <f>'Balance Sheet'!D38</f>
        <v>5875.73</v>
      </c>
      <c r="E93" s="16">
        <f>'Balance Sheet'!E38</f>
        <v>3984.6900000000019</v>
      </c>
      <c r="F93" s="16">
        <f>'Balance Sheet'!F38</f>
        <v>9246.3700000000008</v>
      </c>
      <c r="G93" s="16">
        <f>'Balance Sheet'!G38</f>
        <v>14687.799999999997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5460.98</v>
      </c>
      <c r="D95" s="17">
        <f t="shared" ref="D95:G95" si="19">ROUND(D93/D94*365, 2)</f>
        <v>5875.73</v>
      </c>
      <c r="E95" s="17">
        <f t="shared" si="19"/>
        <v>3984.69</v>
      </c>
      <c r="F95" s="17">
        <f t="shared" si="19"/>
        <v>9246.3700000000008</v>
      </c>
      <c r="G95" s="17">
        <f t="shared" si="19"/>
        <v>14687.8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11614.17</v>
      </c>
      <c r="D98" s="16">
        <f>'Income Statement'!D5</f>
        <v>12152.15</v>
      </c>
      <c r="E98" s="16">
        <f>'Income Statement'!E5</f>
        <v>11698.79</v>
      </c>
      <c r="F98" s="16">
        <f>'Income Statement'!F5</f>
        <v>15370.05</v>
      </c>
      <c r="G98" s="16">
        <f>'Income Statement'!G5</f>
        <v>25881.73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28691.32</v>
      </c>
      <c r="D99" s="16">
        <f>'Balance Sheet'!D40</f>
        <v>30774.639999999999</v>
      </c>
      <c r="E99" s="16">
        <f>'Balance Sheet'!E40</f>
        <v>32144.160000000003</v>
      </c>
      <c r="F99" s="16">
        <f>'Balance Sheet'!F40</f>
        <v>39366.53</v>
      </c>
      <c r="G99" s="16">
        <f>'Balance Sheet'!G40</f>
        <v>50376.94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0.4</v>
      </c>
      <c r="D100" s="17">
        <f t="shared" ref="D100:G100" si="20">ROUND(D98/D99, 2)</f>
        <v>0.39</v>
      </c>
      <c r="E100" s="17">
        <f t="shared" si="20"/>
        <v>0.36</v>
      </c>
      <c r="F100" s="17">
        <f t="shared" si="20"/>
        <v>0.39</v>
      </c>
      <c r="G100" s="17">
        <f t="shared" si="20"/>
        <v>0.51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11614.17</v>
      </c>
      <c r="D103" s="16">
        <f>'Income Statement'!D5</f>
        <v>12152.15</v>
      </c>
      <c r="E103" s="16">
        <f>'Income Statement'!E5</f>
        <v>11698.79</v>
      </c>
      <c r="F103" s="16">
        <f>'Income Statement'!F5</f>
        <v>15370.05</v>
      </c>
      <c r="G103" s="16">
        <f>'Income Statement'!G5</f>
        <v>25881.73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571.69000000000005</v>
      </c>
      <c r="D104" s="16">
        <f>'Balance Sheet'!D36</f>
        <v>666.17</v>
      </c>
      <c r="E104" s="16">
        <f>'Balance Sheet'!E36</f>
        <v>723.51</v>
      </c>
      <c r="F104" s="16">
        <f>'Balance Sheet'!F36</f>
        <v>921.72</v>
      </c>
      <c r="G104" s="16">
        <f>'Balance Sheet'!G36</f>
        <v>2164.9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20.32</v>
      </c>
      <c r="D105" s="17">
        <f t="shared" ref="D105:G105" si="21">ROUND(D103/D104, 2)</f>
        <v>18.239999999999998</v>
      </c>
      <c r="E105" s="17">
        <f t="shared" si="21"/>
        <v>16.170000000000002</v>
      </c>
      <c r="F105" s="17">
        <f t="shared" si="21"/>
        <v>16.68</v>
      </c>
      <c r="G105" s="17">
        <f t="shared" si="21"/>
        <v>11.96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11614.17</v>
      </c>
      <c r="D108" s="16">
        <f>'Income Statement'!D5</f>
        <v>12152.15</v>
      </c>
      <c r="E108" s="16">
        <f>'Income Statement'!E5</f>
        <v>11698.79</v>
      </c>
      <c r="F108" s="16">
        <f>'Income Statement'!F5</f>
        <v>15370.05</v>
      </c>
      <c r="G108" s="16">
        <f>'Income Statement'!G5</f>
        <v>25881.73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1472.74</v>
      </c>
      <c r="D109" s="16">
        <f>'Balance Sheet'!D37</f>
        <v>1424.51</v>
      </c>
      <c r="E109" s="16">
        <f>'Balance Sheet'!E37</f>
        <v>2223.71</v>
      </c>
      <c r="F109" s="16">
        <f>'Balance Sheet'!F37</f>
        <v>2139.89</v>
      </c>
      <c r="G109" s="16">
        <f>'Balance Sheet'!G37</f>
        <v>2954.3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7.89</v>
      </c>
      <c r="D110" s="17">
        <f t="shared" ref="D110:G110" si="22">ROUND(D108/D109, 2)</f>
        <v>8.5299999999999994</v>
      </c>
      <c r="E110" s="17">
        <f t="shared" si="22"/>
        <v>5.26</v>
      </c>
      <c r="F110" s="17">
        <f t="shared" si="22"/>
        <v>7.18</v>
      </c>
      <c r="G110" s="17">
        <f t="shared" si="22"/>
        <v>8.76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11614.17</v>
      </c>
      <c r="D113" s="16">
        <f>'Income Statement'!D5</f>
        <v>12152.15</v>
      </c>
      <c r="E113" s="16">
        <f>'Income Statement'!E5</f>
        <v>11698.79</v>
      </c>
      <c r="F113" s="16">
        <f>'Income Statement'!F5</f>
        <v>15370.05</v>
      </c>
      <c r="G113" s="16">
        <f>'Income Statement'!G5</f>
        <v>25881.73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3149.61</v>
      </c>
      <c r="D114" s="16">
        <f>'Balance Sheet'!D23</f>
        <v>3198.51</v>
      </c>
      <c r="E114" s="16">
        <f>'Balance Sheet'!E23</f>
        <v>3260.95</v>
      </c>
      <c r="F114" s="16">
        <f>'Balance Sheet'!F23</f>
        <v>3320.95</v>
      </c>
      <c r="G114" s="16">
        <f>'Balance Sheet'!G23</f>
        <v>23030.38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3.69</v>
      </c>
      <c r="D115" s="17">
        <f t="shared" ref="D115:G115" si="23">ROUND(D113/D114, 2)</f>
        <v>3.8</v>
      </c>
      <c r="E115" s="17">
        <f t="shared" si="23"/>
        <v>3.59</v>
      </c>
      <c r="F115" s="17">
        <f t="shared" si="23"/>
        <v>4.63</v>
      </c>
      <c r="G115" s="17">
        <f t="shared" si="23"/>
        <v>1.1200000000000001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386.9</v>
      </c>
      <c r="D118" s="16">
        <f>'Income Statement'!D11</f>
        <v>426.42</v>
      </c>
      <c r="E118" s="16">
        <f>'Income Statement'!E11</f>
        <v>394.36</v>
      </c>
      <c r="F118" s="16">
        <f>'Income Statement'!F11</f>
        <v>410.24</v>
      </c>
      <c r="G118" s="16">
        <f>'Income Statement'!G11</f>
        <v>106.95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3758.93</v>
      </c>
      <c r="D119" s="16">
        <f>'Balance Sheet'!D19</f>
        <v>3469.1899999999996</v>
      </c>
      <c r="E119" s="16">
        <f>'Balance Sheet'!E19</f>
        <v>3047.74</v>
      </c>
      <c r="F119" s="16">
        <f>'Balance Sheet'!F19</f>
        <v>5037.74</v>
      </c>
      <c r="G119" s="16">
        <f>'Balance Sheet'!G19</f>
        <v>6360.43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0.1</v>
      </c>
      <c r="D120" s="17">
        <f t="shared" ref="D120:G120" si="24">ROUND(D118/D119, 2)</f>
        <v>0.12</v>
      </c>
      <c r="E120" s="17">
        <f t="shared" si="24"/>
        <v>0.13</v>
      </c>
      <c r="F120" s="17">
        <f t="shared" si="24"/>
        <v>0.08</v>
      </c>
      <c r="G120" s="17">
        <f t="shared" si="24"/>
        <v>0.02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11614.17</v>
      </c>
      <c r="D123" s="16">
        <f>'Income Statement'!D5</f>
        <v>12152.15</v>
      </c>
      <c r="E123" s="16">
        <f>'Income Statement'!E5</f>
        <v>11698.79</v>
      </c>
      <c r="F123" s="16">
        <f>'Income Statement'!F5</f>
        <v>15370.05</v>
      </c>
      <c r="G123" s="16">
        <f>'Income Statement'!G5</f>
        <v>25881.73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571.69000000000005</v>
      </c>
      <c r="D124" s="16">
        <f>'Balance Sheet'!D36</f>
        <v>666.17</v>
      </c>
      <c r="E124" s="16">
        <f>'Balance Sheet'!E36</f>
        <v>723.51</v>
      </c>
      <c r="F124" s="16">
        <f>'Balance Sheet'!F36</f>
        <v>921.72</v>
      </c>
      <c r="G124" s="16">
        <f>'Balance Sheet'!G36</f>
        <v>2164.9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17.97</v>
      </c>
      <c r="D125" s="17">
        <f t="shared" ref="D125:G125" si="25">ROUND(365/D123*D124, 2)</f>
        <v>20.010000000000002</v>
      </c>
      <c r="E125" s="17">
        <f t="shared" si="25"/>
        <v>22.57</v>
      </c>
      <c r="F125" s="17">
        <f t="shared" si="25"/>
        <v>21.89</v>
      </c>
      <c r="G125" s="17">
        <f t="shared" si="25"/>
        <v>30.53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386.9</v>
      </c>
      <c r="D128" s="16">
        <f>'Income Statement'!D11</f>
        <v>426.42</v>
      </c>
      <c r="E128" s="16">
        <f>'Income Statement'!E11</f>
        <v>394.36</v>
      </c>
      <c r="F128" s="16">
        <f>'Income Statement'!F11</f>
        <v>410.24</v>
      </c>
      <c r="G128" s="16">
        <f>'Income Statement'!G11</f>
        <v>106.95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3758.93</v>
      </c>
      <c r="D129" s="16">
        <f>'Balance Sheet'!D19</f>
        <v>3469.1899999999996</v>
      </c>
      <c r="E129" s="16">
        <f>'Balance Sheet'!E19</f>
        <v>3047.74</v>
      </c>
      <c r="F129" s="16">
        <f>'Balance Sheet'!F19</f>
        <v>5037.74</v>
      </c>
      <c r="G129" s="16">
        <f>'Balance Sheet'!G19</f>
        <v>6360.43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3546.16</v>
      </c>
      <c r="D130" s="17">
        <f t="shared" ref="D130:G130" si="26">ROUND(365/D128*D129, 2)</f>
        <v>2969.5</v>
      </c>
      <c r="E130" s="17">
        <f t="shared" si="26"/>
        <v>2820.84</v>
      </c>
      <c r="F130" s="17">
        <f t="shared" si="26"/>
        <v>4482.1899999999996</v>
      </c>
      <c r="G130" s="17">
        <f t="shared" si="26"/>
        <v>21706.94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11614.17</v>
      </c>
      <c r="D133" s="16">
        <f>'Income Statement'!D5</f>
        <v>12152.15</v>
      </c>
      <c r="E133" s="16">
        <f>'Income Statement'!E5</f>
        <v>11698.79</v>
      </c>
      <c r="F133" s="16">
        <f>'Income Statement'!F5</f>
        <v>15370.05</v>
      </c>
      <c r="G133" s="16">
        <f>'Income Statement'!G5</f>
        <v>25881.73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1472.74</v>
      </c>
      <c r="D134" s="16">
        <f>'Balance Sheet'!D37</f>
        <v>1424.51</v>
      </c>
      <c r="E134" s="16">
        <f>'Balance Sheet'!E37</f>
        <v>2223.71</v>
      </c>
      <c r="F134" s="16">
        <f>'Balance Sheet'!F37</f>
        <v>2139.89</v>
      </c>
      <c r="G134" s="16">
        <f>'Balance Sheet'!G37</f>
        <v>2954.3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46.28</v>
      </c>
      <c r="D135" s="17">
        <f t="shared" ref="D135:G135" si="27">ROUND(365/D133*D134, 2)</f>
        <v>42.79</v>
      </c>
      <c r="E135" s="17">
        <f t="shared" si="27"/>
        <v>69.38</v>
      </c>
      <c r="F135" s="17">
        <f t="shared" si="27"/>
        <v>50.82</v>
      </c>
      <c r="G135" s="17">
        <f t="shared" si="27"/>
        <v>41.66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11614.17</v>
      </c>
      <c r="D138" s="16">
        <f>'Income Statement'!D5</f>
        <v>12152.15</v>
      </c>
      <c r="E138" s="16">
        <f>'Income Statement'!E5</f>
        <v>11698.79</v>
      </c>
      <c r="F138" s="16">
        <f>'Income Statement'!F5</f>
        <v>15370.05</v>
      </c>
      <c r="G138" s="16">
        <f>'Income Statement'!G5</f>
        <v>25881.73</v>
      </c>
    </row>
    <row r="139" spans="2:12" ht="18.75" x14ac:dyDescent="0.25">
      <c r="B139" s="15" t="str">
        <f>'Balance Sheet'!B36</f>
        <v>Inventories</v>
      </c>
      <c r="C139" s="16">
        <f>'Balance Sheet'!C36</f>
        <v>571.69000000000005</v>
      </c>
      <c r="D139" s="16">
        <f>'Balance Sheet'!D36</f>
        <v>666.17</v>
      </c>
      <c r="E139" s="16">
        <f>'Balance Sheet'!E36</f>
        <v>723.51</v>
      </c>
      <c r="F139" s="16">
        <f>'Balance Sheet'!F36</f>
        <v>921.72</v>
      </c>
      <c r="G139" s="16">
        <f>'Balance Sheet'!G36</f>
        <v>2164.9</v>
      </c>
    </row>
    <row r="140" spans="2:12" ht="18.75" x14ac:dyDescent="0.25">
      <c r="B140" s="15" t="s">
        <v>192</v>
      </c>
      <c r="C140" s="16">
        <f>ROUND(365/C138*C139, 2)</f>
        <v>17.97</v>
      </c>
      <c r="D140" s="16">
        <f t="shared" ref="D140:G140" si="28">ROUND(365/D138*D139, 2)</f>
        <v>20.010000000000002</v>
      </c>
      <c r="E140" s="16">
        <f t="shared" si="28"/>
        <v>22.57</v>
      </c>
      <c r="F140" s="16">
        <f t="shared" si="28"/>
        <v>21.89</v>
      </c>
      <c r="G140" s="16">
        <f t="shared" si="28"/>
        <v>30.53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386.9</v>
      </c>
      <c r="D141" s="16">
        <f>'Income Statement'!D11</f>
        <v>426.42</v>
      </c>
      <c r="E141" s="16">
        <f>'Income Statement'!E11</f>
        <v>394.36</v>
      </c>
      <c r="F141" s="16">
        <f>'Income Statement'!F11</f>
        <v>410.24</v>
      </c>
      <c r="G141" s="16">
        <f>'Income Statement'!G11</f>
        <v>106.95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3758.93</v>
      </c>
      <c r="D142" s="16">
        <f>'Balance Sheet'!D19</f>
        <v>3469.1899999999996</v>
      </c>
      <c r="E142" s="16">
        <f>'Balance Sheet'!E19</f>
        <v>3047.74</v>
      </c>
      <c r="F142" s="16">
        <f>'Balance Sheet'!F19</f>
        <v>5037.74</v>
      </c>
      <c r="G142" s="16">
        <f>'Balance Sheet'!G19</f>
        <v>6360.43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3546.16</v>
      </c>
      <c r="D143" s="16">
        <f t="shared" ref="D143:G143" si="29">ROUND(365/D141*D142, 2)</f>
        <v>2969.5</v>
      </c>
      <c r="E143" s="16">
        <f t="shared" si="29"/>
        <v>2820.84</v>
      </c>
      <c r="F143" s="16">
        <f t="shared" si="29"/>
        <v>4482.1899999999996</v>
      </c>
      <c r="G143" s="16">
        <f t="shared" si="29"/>
        <v>21706.94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3564.13</v>
      </c>
      <c r="D144" s="28">
        <f t="shared" ref="D144:G144" si="30">ROUND(D143+D140, 2)</f>
        <v>2989.51</v>
      </c>
      <c r="E144" s="28">
        <f t="shared" si="30"/>
        <v>2843.41</v>
      </c>
      <c r="F144" s="28">
        <f t="shared" si="30"/>
        <v>4504.08</v>
      </c>
      <c r="G144" s="28">
        <f t="shared" si="30"/>
        <v>21737.47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11614.17</v>
      </c>
      <c r="D147" s="16">
        <f>'Income Statement'!D5</f>
        <v>12152.15</v>
      </c>
      <c r="E147" s="16">
        <f>'Income Statement'!E5</f>
        <v>11698.79</v>
      </c>
      <c r="F147" s="16">
        <f>'Income Statement'!F5</f>
        <v>15370.05</v>
      </c>
      <c r="G147" s="16">
        <f>'Income Statement'!G5</f>
        <v>25881.73</v>
      </c>
    </row>
    <row r="148" spans="2:12" ht="18.75" x14ac:dyDescent="0.25">
      <c r="B148" s="15" t="str">
        <f>'Balance Sheet'!B36</f>
        <v>Inventories</v>
      </c>
      <c r="C148" s="16">
        <f>'Balance Sheet'!C36</f>
        <v>571.69000000000005</v>
      </c>
      <c r="D148" s="16">
        <f>'Balance Sheet'!D36</f>
        <v>666.17</v>
      </c>
      <c r="E148" s="16">
        <f>'Balance Sheet'!E36</f>
        <v>723.51</v>
      </c>
      <c r="F148" s="16">
        <f>'Balance Sheet'!F36</f>
        <v>921.72</v>
      </c>
      <c r="G148" s="16">
        <f>'Balance Sheet'!G36</f>
        <v>2164.9</v>
      </c>
    </row>
    <row r="149" spans="2:12" ht="18.75" x14ac:dyDescent="0.25">
      <c r="B149" s="15" t="s">
        <v>192</v>
      </c>
      <c r="C149" s="16">
        <f>ROUND(365/C147*C148, 2)</f>
        <v>17.97</v>
      </c>
      <c r="D149" s="16">
        <f t="shared" ref="D149:G149" si="31">ROUND(365/D147*D148, 2)</f>
        <v>20.010000000000002</v>
      </c>
      <c r="E149" s="16">
        <f t="shared" si="31"/>
        <v>22.57</v>
      </c>
      <c r="F149" s="16">
        <f t="shared" si="31"/>
        <v>21.89</v>
      </c>
      <c r="G149" s="16">
        <f t="shared" si="31"/>
        <v>30.53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386.9</v>
      </c>
      <c r="D150" s="16">
        <f>'Income Statement'!D11</f>
        <v>426.42</v>
      </c>
      <c r="E150" s="16">
        <f>'Income Statement'!E11</f>
        <v>394.36</v>
      </c>
      <c r="F150" s="16">
        <f>'Income Statement'!F11</f>
        <v>410.24</v>
      </c>
      <c r="G150" s="16">
        <f>'Income Statement'!G11</f>
        <v>106.95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3758.93</v>
      </c>
      <c r="D151" s="16">
        <f>'Balance Sheet'!D19</f>
        <v>3469.1899999999996</v>
      </c>
      <c r="E151" s="16">
        <f>'Balance Sheet'!E19</f>
        <v>3047.74</v>
      </c>
      <c r="F151" s="16">
        <f>'Balance Sheet'!F19</f>
        <v>5037.74</v>
      </c>
      <c r="G151" s="16">
        <f>'Balance Sheet'!G19</f>
        <v>6360.43</v>
      </c>
    </row>
    <row r="152" spans="2:12" ht="18.75" x14ac:dyDescent="0.25">
      <c r="B152" s="15" t="s">
        <v>194</v>
      </c>
      <c r="C152" s="16">
        <f>ROUND(365/C150*C151, 2)</f>
        <v>3546.16</v>
      </c>
      <c r="D152" s="16">
        <f t="shared" ref="D152:G152" si="32">ROUND(365/D150*D151, 2)</f>
        <v>2969.5</v>
      </c>
      <c r="E152" s="16">
        <f t="shared" si="32"/>
        <v>2820.84</v>
      </c>
      <c r="F152" s="16">
        <f t="shared" si="32"/>
        <v>4482.1899999999996</v>
      </c>
      <c r="G152" s="16">
        <f t="shared" si="32"/>
        <v>21706.94</v>
      </c>
    </row>
    <row r="153" spans="2:12" ht="18.75" x14ac:dyDescent="0.25">
      <c r="B153" s="15" t="s">
        <v>200</v>
      </c>
      <c r="C153" s="16">
        <f>ROUND(C152+C149, 2)</f>
        <v>3564.13</v>
      </c>
      <c r="D153" s="16">
        <f t="shared" ref="D153:G153" si="33">ROUND(D152+D149, 2)</f>
        <v>2989.51</v>
      </c>
      <c r="E153" s="16">
        <f t="shared" si="33"/>
        <v>2843.41</v>
      </c>
      <c r="F153" s="16">
        <f t="shared" si="33"/>
        <v>4504.08</v>
      </c>
      <c r="G153" s="16">
        <f t="shared" si="33"/>
        <v>21737.47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386.9</v>
      </c>
      <c r="D154" s="16">
        <f>'Income Statement'!D11</f>
        <v>426.42</v>
      </c>
      <c r="E154" s="16">
        <f>'Income Statement'!E11</f>
        <v>394.36</v>
      </c>
      <c r="F154" s="16">
        <f>'Income Statement'!F11</f>
        <v>410.24</v>
      </c>
      <c r="G154" s="16">
        <f>'Income Statement'!G11</f>
        <v>106.95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3758.93</v>
      </c>
      <c r="D155" s="16">
        <f>'Balance Sheet'!D19</f>
        <v>3469.1899999999996</v>
      </c>
      <c r="E155" s="16">
        <f>'Balance Sheet'!E19</f>
        <v>3047.74</v>
      </c>
      <c r="F155" s="16">
        <f>'Balance Sheet'!F19</f>
        <v>5037.74</v>
      </c>
      <c r="G155" s="16">
        <f>'Balance Sheet'!G19</f>
        <v>6360.43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3546.16</v>
      </c>
      <c r="D156" s="16">
        <f t="shared" ref="D156:G156" si="34">ROUND(365/D154*D155, 2)</f>
        <v>2969.5</v>
      </c>
      <c r="E156" s="16">
        <f t="shared" si="34"/>
        <v>2820.84</v>
      </c>
      <c r="F156" s="16">
        <f t="shared" si="34"/>
        <v>4482.1899999999996</v>
      </c>
      <c r="G156" s="16">
        <f t="shared" si="34"/>
        <v>21706.94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-17.97</v>
      </c>
      <c r="D157" s="28">
        <f t="shared" ref="D157:G157" si="35">ROUND(D156-D153, 2)</f>
        <v>-20.010000000000002</v>
      </c>
      <c r="E157" s="28">
        <f t="shared" si="35"/>
        <v>-22.57</v>
      </c>
      <c r="F157" s="28">
        <f t="shared" si="35"/>
        <v>-21.89</v>
      </c>
      <c r="G157" s="28">
        <f t="shared" si="35"/>
        <v>-30.53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00D7E60E-6A7B-4947-AB5C-30B06AAA95E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67F0DDFD-AEA3-4C64-BF0D-F658F1D375C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FE3CF083-CEF4-472F-A4FF-72057F1D4B7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E44909F4-B3BD-4DAC-A5D7-DE7986C49C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6E33E343-0293-49CA-B984-49ADA46B2BF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667DA2FD-B7C9-4477-81AA-5D944491410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C687DEB7-B4D7-4420-97A8-18C1465CBF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5A986CDB-6D16-4C50-984B-9CC5885C0D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7FB801BF-9D87-4495-A626-72C4CD73A3A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9302F86D-DB6E-4945-A414-45752FDF73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8E8D615B-5065-46E5-88A0-F51F4DE4F12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077F7B0F-30AA-46E5-B327-29927A4C4E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43496080-31D8-4541-ADFE-9539B17CE4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010C7AC3-B1C2-4BB4-B452-9B1D130CAF9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145FE9AF-810B-4A06-93AA-83AD0E9707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193CE559-7883-4D51-AE67-ECCAE6F3612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0FDBED65-ABCA-4A9D-914A-0E563A9685B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9D3F91EE-48DB-42AC-8C1E-E1396B295E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DF90C2C8-E578-4DC7-A82A-E6FFFB91EA3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A96B2A7E-F374-48E4-BE8B-30C218F23B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C3EF481-2A47-4BA6-BB76-C0E1B5ED6C5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36C36084-003E-4990-AAA4-C261208688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5900B110-E51D-4958-A22D-5C38F4EBCFE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914BC54F-7B9B-4E94-AEED-7BA2E65996A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D75DE64A-A030-48D3-8BAD-6A11A05731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BCA605FC-5DE0-491D-8C49-6F3092CA2B9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B17FED47-5D45-4D97-A873-F66659CFCDD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B3829-C9DB-4AEA-B7C0-CD0A7365B80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3764.0099999999984</v>
      </c>
      <c r="D6" s="16">
        <f>'Income Statement'!D27</f>
        <v>4557.7500000000018</v>
      </c>
      <c r="E6" s="16">
        <f>'Income Statement'!E27</f>
        <v>3548.0500000000015</v>
      </c>
      <c r="F6" s="16">
        <f>'Income Statement'!F27</f>
        <v>6085.2499999999991</v>
      </c>
      <c r="G6" s="16">
        <f>'Income Statement'!G27</f>
        <v>8191.49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</row>
    <row r="8" spans="2:7" ht="18.75" x14ac:dyDescent="0.25">
      <c r="B8" s="17" t="s">
        <v>146</v>
      </c>
      <c r="C8" s="17">
        <f>ROUND(C6/C7, 2)</f>
        <v>12</v>
      </c>
      <c r="D8" s="17">
        <f t="shared" ref="D8:G8" si="0">ROUND(D6/D7, 2)</f>
        <v>15</v>
      </c>
      <c r="E8" s="17">
        <f t="shared" si="0"/>
        <v>12</v>
      </c>
      <c r="F8" s="17">
        <f t="shared" si="0"/>
        <v>21</v>
      </c>
      <c r="G8" s="17">
        <f t="shared" si="0"/>
        <v>32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B0E43-9C70-4AE3-90B6-739AE41DDFB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1676.86</v>
      </c>
      <c r="D6" s="16">
        <f>'Income Statement'!D28</f>
        <v>1690.14</v>
      </c>
      <c r="E6" s="16">
        <f>'Income Statement'!E28</f>
        <v>1619.72</v>
      </c>
      <c r="F6" s="16">
        <f>'Income Statement'!F28</f>
        <v>2274.15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</row>
    <row r="8" spans="2:7" ht="18.75" x14ac:dyDescent="0.25">
      <c r="B8" s="17" t="s">
        <v>148</v>
      </c>
      <c r="C8" s="17">
        <f>ROUND(C6/C7, 2)</f>
        <v>5.35</v>
      </c>
      <c r="D8" s="17">
        <f t="shared" ref="D8:G8" si="0">ROUND(D6/D7, 2)</f>
        <v>5.56</v>
      </c>
      <c r="E8" s="17">
        <f t="shared" si="0"/>
        <v>5.48</v>
      </c>
      <c r="F8" s="17">
        <f t="shared" si="0"/>
        <v>7.85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5FF5B-6130-4468-AF5A-D8D7E9B0602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24417.41</v>
      </c>
      <c r="D6" s="16">
        <f>'Balance Sheet'!D9</f>
        <v>26927.41</v>
      </c>
      <c r="E6" s="16">
        <f>'Balance Sheet'!E9</f>
        <v>28522.800000000003</v>
      </c>
      <c r="F6" s="16">
        <f>'Balance Sheet'!F9</f>
        <v>32320.780000000002</v>
      </c>
      <c r="G6" s="16">
        <f>'Balance Sheet'!G9</f>
        <v>40512.270000000004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313.66749999999985</v>
      </c>
      <c r="D7" s="16">
        <f>'Income Statement'!D35</f>
        <v>303.85000000000014</v>
      </c>
      <c r="E7" s="16">
        <f>'Income Statement'!E35</f>
        <v>295.67083333333346</v>
      </c>
      <c r="F7" s="16">
        <f>'Income Statement'!F35</f>
        <v>289.77380952380946</v>
      </c>
      <c r="G7" s="16">
        <f>'Income Statement'!G35</f>
        <v>255.98406249999999</v>
      </c>
    </row>
    <row r="8" spans="2:7" ht="18.75" x14ac:dyDescent="0.25">
      <c r="B8" s="17" t="s">
        <v>150</v>
      </c>
      <c r="C8" s="17">
        <f>ROUND(C6/C7, 2)</f>
        <v>77.84</v>
      </c>
      <c r="D8" s="17">
        <f t="shared" ref="D8:G8" si="0">ROUND(D6/D7, 2)</f>
        <v>88.62</v>
      </c>
      <c r="E8" s="17">
        <f t="shared" si="0"/>
        <v>96.47</v>
      </c>
      <c r="F8" s="17">
        <f t="shared" si="0"/>
        <v>111.54</v>
      </c>
      <c r="G8" s="17">
        <f t="shared" si="0"/>
        <v>158.26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2022-07-03T11:29:24Z</dcterms:created>
  <dcterms:modified xsi:type="dcterms:W3CDTF">2022-07-04T07:10:58Z</dcterms:modified>
</cp:coreProperties>
</file>