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0B3ACE5A-B282-43B0-9C93-9CB71F9ECBA5}" xr6:coauthVersionLast="47" xr6:coauthVersionMax="47" xr10:uidLastSave="{00000000-0000-0000-0000-000000000000}"/>
  <bookViews>
    <workbookView xWindow="-120" yWindow="-120" windowWidth="20730" windowHeight="11160" firstSheet="42" activeTab="44" xr2:uid="{C43EBB1A-0E53-45E1-AF60-BAF2A9717DE6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/>
  <c r="G8" i="4"/>
  <c r="D8" i="4"/>
  <c r="F25" i="4"/>
  <c r="G25" i="4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G26" i="4"/>
  <c r="G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F9" i="4"/>
  <c r="F21" i="4" s="1"/>
  <c r="G9" i="4"/>
  <c r="G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F38" i="4" l="1"/>
  <c r="E39" i="4"/>
  <c r="E40" i="4" s="1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<sst xmlns="http://schemas.openxmlformats.org/spreadsheetml/2006/main" count="490" uniqueCount="203">
  <si>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Power Grid Corporation of India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</si>
  <si>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</si>
  <si>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</si>
  <si>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</si>
  <si>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</si>
  <si>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</si>
  <si>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</si>
  <si>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</si>
  <si>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</si>
  <si>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</si>
  <si>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</si>
  <si>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</si>
  <si>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</si>
  <si>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</si>
  <si>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</si>
  <si>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</si>
  <si>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</si>
  <si>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</si>
  <si>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</si>
  <si>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</si>
  <si>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</si>
  <si>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</si>
  <si>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</si>
  <si>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</si>
  <si>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</si>
  <si>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</si>
  <si>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</si>
  <si>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</si>
  <si>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</si>
  <si>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</si>
  <si>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</si>
  <si>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</si>
  <si>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</si>
  <si>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</si>
  <si>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</si>
  <si>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</si>
  <si>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</si>
  <si>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</si>
  <si>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</si>
  <si>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</si>
  <si>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</si>
  <si>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</si>
  <si>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</si>
  <si>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</si>
  <si>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</si>
  <si>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</si>
  <si>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</si>
  <si>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</si>
  <si>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</si>
  <si>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</si>
  <si>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</si>
  <si>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</si>
  <si>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</si>
  <si>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</si>
  <si>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</si>
  <si>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Power Grid Corporation of India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</si>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</sst>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101-4D2C-88FD-3F3A53F695AF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101-4D2C-88FD-3F3A53F695A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101-4D2C-88FD-3F3A53F695A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1101-4D2C-88FD-3F3A53F695A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16</c:v>
                </c:pt>
                <c:pt idx="1">
                  <c:v>19</c:v>
                </c:pt>
                <c:pt idx="2">
                  <c:v>21</c:v>
                </c:pt>
                <c:pt idx="3">
                  <c:v>23</c:v>
                </c:pt>
                <c:pt idx="4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101-4D2C-88FD-3F3A53F695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736"/>
        <c:axId val="449430264"/>
      </c:lineChart>
      <c:catAx>
        <c:axId val="44942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264"/>
        <c:crosses val="autoZero"/>
        <c:auto val="0"/>
        <c:lblAlgn val="ctr"/>
        <c:lblOffset val="100"/>
        <c:noMultiLvlLbl val="0"/>
      </c:catAx>
      <c:valAx>
        <c:axId val="44943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1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A9B-4FF8-8BB1-E225C8770D6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A9B-4FF8-8BB1-E225C8770D6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A9B-4FF8-8BB1-E225C8770D6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EA9B-4FF8-8BB1-E225C8770D6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0.08</c:v>
                </c:pt>
                <c:pt idx="2">
                  <c:v>0.08</c:v>
                </c:pt>
                <c:pt idx="3">
                  <c:v>0.08</c:v>
                </c:pt>
                <c:pt idx="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A9B-4FF8-8BB1-E225C8770D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670120"/>
        <c:axId val="558670448"/>
      </c:lineChart>
      <c:catAx>
        <c:axId val="558670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670448"/>
        <c:crosses val="autoZero"/>
        <c:auto val="0"/>
        <c:lblAlgn val="ctr"/>
        <c:lblOffset val="100"/>
        <c:noMultiLvlLbl val="0"/>
      </c:catAx>
      <c:valAx>
        <c:axId val="558670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8670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2.52</c:v>
                </c:pt>
                <c:pt idx="1">
                  <c:v>2.48</c:v>
                </c:pt>
                <c:pt idx="2">
                  <c:v>2.31</c:v>
                </c:pt>
                <c:pt idx="3">
                  <c:v>2.0499999999999998</c:v>
                </c:pt>
                <c:pt idx="4">
                  <c:v>1.66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2C-469F-8312-F6744FE89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779256"/>
        <c:axId val="627777616"/>
      </c:lineChart>
      <c:catAx>
        <c:axId val="627779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777616"/>
        <c:crosses val="autoZero"/>
        <c:auto val="0"/>
        <c:lblAlgn val="ctr"/>
        <c:lblOffset val="100"/>
        <c:noMultiLvlLbl val="0"/>
      </c:catAx>
      <c:valAx>
        <c:axId val="6277776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7792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8A-4966-9D69-53FFDDBD0533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38A-4966-9D69-53FFDDBD0533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8A-4966-9D69-53FFDDBD053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38A-4966-9D69-53FFDDBD053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0.9</c:v>
                </c:pt>
                <c:pt idx="1">
                  <c:v>1.08</c:v>
                </c:pt>
                <c:pt idx="2">
                  <c:v>1.45</c:v>
                </c:pt>
                <c:pt idx="3">
                  <c:v>1.85</c:v>
                </c:pt>
                <c:pt idx="4">
                  <c:v>3.53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38A-4966-9D69-53FFDDBD05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378304"/>
        <c:axId val="451378632"/>
      </c:lineChart>
      <c:catAx>
        <c:axId val="451378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378632"/>
        <c:crosses val="autoZero"/>
        <c:auto val="0"/>
        <c:lblAlgn val="ctr"/>
        <c:lblOffset val="100"/>
        <c:noMultiLvlLbl val="0"/>
      </c:catAx>
      <c:valAx>
        <c:axId val="4513786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378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247-4310-8E40-5A73919183A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247-4310-8E40-5A73919183A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D247-4310-8E40-5A73919183A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247-4310-8E40-5A73919183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0.87</c:v>
                </c:pt>
                <c:pt idx="1">
                  <c:v>1.05</c:v>
                </c:pt>
                <c:pt idx="2">
                  <c:v>1.42</c:v>
                </c:pt>
                <c:pt idx="3">
                  <c:v>1.82</c:v>
                </c:pt>
                <c:pt idx="4">
                  <c:v>3.49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247-4310-8E40-5A7391918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025480"/>
        <c:axId val="448025152"/>
      </c:lineChart>
      <c:catAx>
        <c:axId val="44802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025152"/>
        <c:crosses val="autoZero"/>
        <c:auto val="0"/>
        <c:lblAlgn val="ctr"/>
        <c:lblOffset val="100"/>
        <c:noMultiLvlLbl val="0"/>
      </c:catAx>
      <c:valAx>
        <c:axId val="448025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0254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06D-40F2-8CAB-C0FF374EBE8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06D-40F2-8CAB-C0FF374EBE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2.36</c:v>
                </c:pt>
                <c:pt idx="1">
                  <c:v>2.2999999999999998</c:v>
                </c:pt>
                <c:pt idx="2">
                  <c:v>2.2400000000000002</c:v>
                </c:pt>
                <c:pt idx="3">
                  <c:v>2.93</c:v>
                </c:pt>
                <c:pt idx="4">
                  <c:v>3.08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06D-40F2-8CAB-C0FF374EBE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94408"/>
        <c:axId val="559894736"/>
      </c:lineChart>
      <c:catAx>
        <c:axId val="559894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94736"/>
        <c:crosses val="autoZero"/>
        <c:auto val="0"/>
        <c:lblAlgn val="ctr"/>
        <c:lblOffset val="100"/>
        <c:noMultiLvlLbl val="0"/>
      </c:catAx>
      <c:valAx>
        <c:axId val="559894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894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73D-476F-B8C3-B32B85AE613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73D-476F-B8C3-B32B85AE613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73D-476F-B8C3-B32B85AE613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73D-476F-B8C3-B32B85AE61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3D-476F-B8C3-B32B85AE61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025808"/>
        <c:axId val="442857376"/>
      </c:lineChart>
      <c:catAx>
        <c:axId val="44802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7376"/>
        <c:crosses val="autoZero"/>
        <c:auto val="0"/>
        <c:lblAlgn val="ctr"/>
        <c:lblOffset val="100"/>
        <c:noMultiLvlLbl val="0"/>
      </c:catAx>
      <c:valAx>
        <c:axId val="442857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0258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949-4EA7-8924-6AFD429FB4ED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949-4EA7-8924-6AFD429FB4E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949-4EA7-8924-6AFD429FB4E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949-4EA7-8924-6AFD429FB4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949-4EA7-8924-6AFD429FB4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3376"/>
        <c:axId val="449425672"/>
      </c:lineChart>
      <c:catAx>
        <c:axId val="44942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5672"/>
        <c:crosses val="autoZero"/>
        <c:auto val="0"/>
        <c:lblAlgn val="ctr"/>
        <c:lblOffset val="100"/>
        <c:noMultiLvlLbl val="0"/>
      </c:catAx>
      <c:valAx>
        <c:axId val="449425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3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611-4A9B-93A8-B8214612E2C2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611-4A9B-93A8-B8214612E2C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611-4A9B-93A8-B8214612E2C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611-4A9B-93A8-B8214612E2C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2189.02</c:v>
                </c:pt>
                <c:pt idx="1">
                  <c:v>14679.17</c:v>
                </c:pt>
                <c:pt idx="2">
                  <c:v>28016.880000000001</c:v>
                </c:pt>
                <c:pt idx="3">
                  <c:v>39280.89</c:v>
                </c:pt>
                <c:pt idx="4">
                  <c:v>63862.43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11-4A9B-93A8-B8214612E2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4728"/>
        <c:axId val="364046696"/>
      </c:lineChart>
      <c:catAx>
        <c:axId val="36404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6696"/>
        <c:crosses val="autoZero"/>
        <c:auto val="0"/>
        <c:lblAlgn val="ctr"/>
        <c:lblOffset val="100"/>
        <c:noMultiLvlLbl val="0"/>
      </c:catAx>
      <c:valAx>
        <c:axId val="364046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4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F69-4F64-844A-B7616ADDD24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F69-4F64-844A-B7616ADDD24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F69-4F64-844A-B7616ADDD24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FF69-4F64-844A-B7616ADDD2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0.13</c:v>
                </c:pt>
                <c:pt idx="1">
                  <c:v>0.14000000000000001</c:v>
                </c:pt>
                <c:pt idx="2">
                  <c:v>0.14000000000000001</c:v>
                </c:pt>
                <c:pt idx="3">
                  <c:v>0.15</c:v>
                </c:pt>
                <c:pt idx="4">
                  <c:v>0.16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F69-4F64-844A-B7616ADDD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1576"/>
        <c:axId val="449433872"/>
      </c:lineChart>
      <c:catAx>
        <c:axId val="44943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3872"/>
        <c:crosses val="autoZero"/>
        <c:auto val="0"/>
        <c:lblAlgn val="ctr"/>
        <c:lblOffset val="100"/>
        <c:noMultiLvlLbl val="0"/>
      </c:catAx>
      <c:valAx>
        <c:axId val="4494338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1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4E2-47ED-8252-63E36E40453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4E2-47ED-8252-63E36E4045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28.5</c:v>
                </c:pt>
                <c:pt idx="1">
                  <c:v>27.93</c:v>
                </c:pt>
                <c:pt idx="2">
                  <c:v>25.67</c:v>
                </c:pt>
                <c:pt idx="3">
                  <c:v>28.75</c:v>
                </c:pt>
                <c:pt idx="4">
                  <c:v>30.66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E2-47ED-8252-63E36E404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2855736"/>
        <c:axId val="442856064"/>
      </c:lineChart>
      <c:catAx>
        <c:axId val="442855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856064"/>
        <c:crosses val="autoZero"/>
        <c:auto val="0"/>
        <c:lblAlgn val="ctr"/>
        <c:lblOffset val="100"/>
        <c:noMultiLvlLbl val="0"/>
      </c:catAx>
      <c:valAx>
        <c:axId val="442856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2855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097-483D-93C2-8F67C6A099F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097-483D-93C2-8F67C6A099F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6.06</c:v>
                </c:pt>
                <c:pt idx="1">
                  <c:v>8.86</c:v>
                </c:pt>
                <c:pt idx="2">
                  <c:v>6.57</c:v>
                </c:pt>
                <c:pt idx="3">
                  <c:v>13.66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97-483D-93C2-8F67C6A099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2392"/>
        <c:axId val="449427312"/>
      </c:lineChart>
      <c:catAx>
        <c:axId val="449422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7312"/>
        <c:crosses val="autoZero"/>
        <c:auto val="0"/>
        <c:lblAlgn val="ctr"/>
        <c:lblOffset val="100"/>
        <c:noMultiLvlLbl val="0"/>
      </c:catAx>
      <c:valAx>
        <c:axId val="4494273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2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AC7-422B-A3C1-805A85DFF6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8.2200000000000006</c:v>
                </c:pt>
                <c:pt idx="1">
                  <c:v>7.37</c:v>
                </c:pt>
                <c:pt idx="2">
                  <c:v>7.3</c:v>
                </c:pt>
                <c:pt idx="3">
                  <c:v>10.69</c:v>
                </c:pt>
                <c:pt idx="4">
                  <c:v>4.3899999999999997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C7-422B-A3C1-805A85DFF6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6576"/>
        <c:axId val="104319400"/>
      </c:lineChart>
      <c:catAx>
        <c:axId val="44076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9400"/>
        <c:crosses val="autoZero"/>
        <c:auto val="0"/>
        <c:lblAlgn val="ctr"/>
        <c:lblOffset val="100"/>
        <c:noMultiLvlLbl val="0"/>
      </c:catAx>
      <c:valAx>
        <c:axId val="10431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076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8D7-4EC2-9B37-D6FCAD6C1AD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8D7-4EC2-9B37-D6FCAD6C1AD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8D7-4EC2-9B37-D6FCAD6C1A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0.19</c:v>
                </c:pt>
                <c:pt idx="1">
                  <c:v>0.2</c:v>
                </c:pt>
                <c:pt idx="2">
                  <c:v>0.21</c:v>
                </c:pt>
                <c:pt idx="3">
                  <c:v>0.22</c:v>
                </c:pt>
                <c:pt idx="4">
                  <c:v>0.2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D7-4EC2-9B37-D6FCAD6C1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095208"/>
        <c:axId val="274096520"/>
      </c:lineChart>
      <c:catAx>
        <c:axId val="274095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6520"/>
        <c:crosses val="autoZero"/>
        <c:auto val="0"/>
        <c:lblAlgn val="ctr"/>
        <c:lblOffset val="100"/>
        <c:noMultiLvlLbl val="0"/>
      </c:catAx>
      <c:valAx>
        <c:axId val="274096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274095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8D4-4A27-A451-B60F92BE216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8D4-4A27-A451-B60F92BE2166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98D4-4A27-A451-B60F92BE216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8D4-4A27-A451-B60F92BE216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D4-4A27-A451-B60F92BE2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778928"/>
        <c:axId val="627780568"/>
      </c:lineChart>
      <c:catAx>
        <c:axId val="627778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780568"/>
        <c:crosses val="autoZero"/>
        <c:auto val="0"/>
        <c:lblAlgn val="ctr"/>
        <c:lblOffset val="100"/>
        <c:noMultiLvlLbl val="0"/>
      </c:catAx>
      <c:valAx>
        <c:axId val="6277805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77789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D46-4223-9C12-4C02397024DB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D46-4223-9C12-4C02397024D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12.81</c:v>
                </c:pt>
                <c:pt idx="1">
                  <c:v>13.07</c:v>
                </c:pt>
                <c:pt idx="2">
                  <c:v>14.22</c:v>
                </c:pt>
                <c:pt idx="3">
                  <c:v>12.7</c:v>
                </c:pt>
                <c:pt idx="4">
                  <c:v>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D46-4223-9C12-4C02397024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1248"/>
        <c:axId val="449431904"/>
      </c:lineChart>
      <c:catAx>
        <c:axId val="449431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1904"/>
        <c:crosses val="autoZero"/>
        <c:auto val="0"/>
        <c:lblAlgn val="ctr"/>
        <c:lblOffset val="100"/>
        <c:noMultiLvlLbl val="0"/>
      </c:catAx>
      <c:valAx>
        <c:axId val="449431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12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741-4C2B-81CF-19974CDD966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741-4C2B-81CF-19974CDD966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741-4C2B-81CF-19974CDD966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741-4C2B-81CF-19974CDD96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41-4C2B-81CF-19974CDD96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668048"/>
        <c:axId val="546671328"/>
      </c:lineChart>
      <c:catAx>
        <c:axId val="546668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1328"/>
        <c:crosses val="autoZero"/>
        <c:auto val="0"/>
        <c:lblAlgn val="ctr"/>
        <c:lblOffset val="100"/>
        <c:noMultiLvlLbl val="0"/>
      </c:catAx>
      <c:valAx>
        <c:axId val="5466713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668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C0A-48E3-B0F1-539C2D103F0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C0A-48E3-B0F1-539C2D103F0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C0A-48E3-B0F1-539C2D103F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44.43</c:v>
                </c:pt>
                <c:pt idx="1">
                  <c:v>49.55</c:v>
                </c:pt>
                <c:pt idx="2">
                  <c:v>50</c:v>
                </c:pt>
                <c:pt idx="3">
                  <c:v>34.14</c:v>
                </c:pt>
                <c:pt idx="4">
                  <c:v>83.1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C0A-48E3-B0F1-539C2D103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665752"/>
        <c:axId val="546666408"/>
      </c:lineChart>
      <c:catAx>
        <c:axId val="546665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66408"/>
        <c:crosses val="autoZero"/>
        <c:auto val="0"/>
        <c:lblAlgn val="ctr"/>
        <c:lblOffset val="100"/>
        <c:noMultiLvlLbl val="0"/>
      </c:catAx>
      <c:valAx>
        <c:axId val="546666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66657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AA4-4243-9544-169E4FDFB7C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AA4-4243-9544-169E4FDFB7C6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AA4-4243-9544-169E4FDFB7C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AA4-4243-9544-169E4FDFB7C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A4-4243-9544-169E4FDFB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825320"/>
        <c:axId val="448826304"/>
      </c:lineChart>
      <c:catAx>
        <c:axId val="448825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6304"/>
        <c:crosses val="autoZero"/>
        <c:auto val="0"/>
        <c:lblAlgn val="ctr"/>
        <c:lblOffset val="100"/>
        <c:noMultiLvlLbl val="0"/>
      </c:catAx>
      <c:valAx>
        <c:axId val="448826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88253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368-4F28-BD41-97F95C6DD53E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368-4F28-BD41-97F95C6DD53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368-4F28-BD41-97F95C6DD53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368-4F28-BD41-97F95C6DD53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368-4F28-BD41-97F95C6DD5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669032"/>
        <c:axId val="546669360"/>
      </c:lineChart>
      <c:catAx>
        <c:axId val="546669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69360"/>
        <c:crosses val="autoZero"/>
        <c:auto val="0"/>
        <c:lblAlgn val="ctr"/>
        <c:lblOffset val="100"/>
        <c:noMultiLvlLbl val="0"/>
      </c:catAx>
      <c:valAx>
        <c:axId val="5466693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6669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54425.990000000005</c:v>
                </c:pt>
                <c:pt idx="1">
                  <c:v>58647.369999999995</c:v>
                </c:pt>
                <c:pt idx="2">
                  <c:v>64852.26999999999</c:v>
                </c:pt>
                <c:pt idx="3">
                  <c:v>69513.079999999987</c:v>
                </c:pt>
                <c:pt idx="4">
                  <c:v>88002.539999999979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B5-4061-A43D-C4C8857B8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79528"/>
        <c:axId val="546675592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225316.05000000005</c:v>
                </c:pt>
                <c:pt idx="1">
                  <c:v>246916.57</c:v>
                </c:pt>
                <c:pt idx="2">
                  <c:v>256810.13999999996</c:v>
                </c:pt>
                <c:pt idx="3">
                  <c:v>255326.13</c:v>
                </c:pt>
                <c:pt idx="4">
                  <c:v>262698.83999999997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7B5-4061-A43D-C4C8857B83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79528"/>
        <c:axId val="546675592"/>
      </c:lineChart>
      <c:catAx>
        <c:axId val="546679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5592"/>
        <c:crosses val="autoZero"/>
        <c:auto val="1"/>
        <c:lblAlgn val="ctr"/>
        <c:lblOffset val="100"/>
        <c:noMultiLvlLbl val="0"/>
      </c:catAx>
      <c:valAx>
        <c:axId val="546675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95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26545.089999999997</c:v>
                </c:pt>
                <c:pt idx="1">
                  <c:v>30594.789999999994</c:v>
                </c:pt>
                <c:pt idx="2">
                  <c:v>32924.249999999993</c:v>
                </c:pt>
                <c:pt idx="3">
                  <c:v>35837.89</c:v>
                </c:pt>
                <c:pt idx="4">
                  <c:v>37648.459999999992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07-44F1-90AA-11CB6A33ABC1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17314.099999999999</c:v>
                </c:pt>
                <c:pt idx="1">
                  <c:v>20053.839999999993</c:v>
                </c:pt>
                <c:pt idx="2">
                  <c:v>21317.209999999992</c:v>
                </c:pt>
                <c:pt idx="3">
                  <c:v>23798.699999999997</c:v>
                </c:pt>
                <c:pt idx="4">
                  <c:v>24776.799999999992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07-44F1-90AA-11CB6A33AB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1972152"/>
        <c:axId val="451971496"/>
      </c:barChart>
      <c:catAx>
        <c:axId val="4519721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971496"/>
        <c:crosses val="autoZero"/>
        <c:auto val="1"/>
        <c:lblAlgn val="ctr"/>
        <c:lblOffset val="100"/>
        <c:noMultiLvlLbl val="0"/>
      </c:catAx>
      <c:valAx>
        <c:axId val="451971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9721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3C7-4D25-BE4D-AFB610E0BD54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3C7-4D25-BE4D-AFB610E0BD54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3C7-4D25-BE4D-AFB610E0BD5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108.75</c:v>
                </c:pt>
                <c:pt idx="1">
                  <c:v>115.15</c:v>
                </c:pt>
                <c:pt idx="2">
                  <c:v>136.72</c:v>
                </c:pt>
                <c:pt idx="3">
                  <c:v>139.22999999999999</c:v>
                </c:pt>
                <c:pt idx="4">
                  <c:v>126.13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3C7-4D25-BE4D-AFB610E0BD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952"/>
        <c:axId val="553596248"/>
      </c:lineChart>
      <c:catAx>
        <c:axId val="553593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248"/>
        <c:crosses val="autoZero"/>
        <c:auto val="0"/>
        <c:lblAlgn val="ctr"/>
        <c:lblOffset val="100"/>
        <c:noMultiLvlLbl val="0"/>
      </c:catAx>
      <c:valAx>
        <c:axId val="5535962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30225.239999999998</c:v>
                </c:pt>
                <c:pt idx="1">
                  <c:v>46033.009999999995</c:v>
                </c:pt>
                <c:pt idx="2">
                  <c:v>61510.509999999951</c:v>
                </c:pt>
                <c:pt idx="3">
                  <c:v>79621.989999999991</c:v>
                </c:pt>
                <c:pt idx="4">
                  <c:v>101343.59999999996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5B-47B4-8881-6BAEECD27869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33706.89</c:v>
                </c:pt>
                <c:pt idx="1">
                  <c:v>42621.210000000006</c:v>
                </c:pt>
                <c:pt idx="2">
                  <c:v>42307.979999999996</c:v>
                </c:pt>
                <c:pt idx="3">
                  <c:v>43001.64</c:v>
                </c:pt>
                <c:pt idx="4">
                  <c:v>28674.050000000003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5B-47B4-8881-6BAEECD2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76248"/>
        <c:axId val="546676904"/>
      </c:barChart>
      <c:catAx>
        <c:axId val="546676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6904"/>
        <c:crosses val="autoZero"/>
        <c:auto val="1"/>
        <c:lblAlgn val="ctr"/>
        <c:lblOffset val="100"/>
        <c:noMultiLvlLbl val="0"/>
      </c:catAx>
      <c:valAx>
        <c:axId val="546676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62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716.87</c:v>
                </c:pt>
                <c:pt idx="1">
                  <c:v>368.15</c:v>
                </c:pt>
                <c:pt idx="2">
                  <c:v>424.71</c:v>
                </c:pt>
                <c:pt idx="3">
                  <c:v>462.02</c:v>
                </c:pt>
                <c:pt idx="4">
                  <c:v>517.14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2D8-43D4-B47D-2FB246220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56056"/>
        <c:axId val="54675638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1059.5999999999999</c:v>
                </c:pt>
                <c:pt idx="1">
                  <c:v>701.14</c:v>
                </c:pt>
                <c:pt idx="2">
                  <c:v>742.04</c:v>
                </c:pt>
                <c:pt idx="3">
                  <c:v>845.12</c:v>
                </c:pt>
                <c:pt idx="4">
                  <c:v>1167.1199999999999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2D8-43D4-B47D-2FB246220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757368"/>
        <c:axId val="546759664"/>
      </c:lineChart>
      <c:catAx>
        <c:axId val="546756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46756384"/>
        <c:crosses val="autoZero"/>
        <c:auto val="1"/>
        <c:lblAlgn val="ctr"/>
        <c:lblOffset val="100"/>
        <c:noMultiLvlLbl val="0"/>
      </c:catAx>
      <c:valAx>
        <c:axId val="546756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756056"/>
        <c:crosses val="autoZero"/>
        <c:crossBetween val="between"/>
      </c:valAx>
      <c:valAx>
        <c:axId val="54675966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6757368"/>
        <c:crosses val="max"/>
        <c:crossBetween val="between"/>
      </c:valAx>
      <c:catAx>
        <c:axId val="546757368"/>
        <c:scaling>
          <c:orientation val="minMax"/>
        </c:scaling>
        <c:delete val="1"/>
        <c:axPos val="b"/>
        <c:majorTickMark val="out"/>
        <c:minorTickMark val="none"/>
        <c:tickLblPos val="nextTo"/>
        <c:crossAx val="54675966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74B-4004-9125-F4AE45677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824992"/>
        <c:axId val="44880044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74B-4004-9125-F4AE45677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801104"/>
        <c:axId val="448803728"/>
      </c:lineChart>
      <c:catAx>
        <c:axId val="448824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48800448"/>
        <c:crosses val="autoZero"/>
        <c:auto val="1"/>
        <c:lblAlgn val="ctr"/>
        <c:lblOffset val="100"/>
        <c:noMultiLvlLbl val="0"/>
      </c:catAx>
      <c:valAx>
        <c:axId val="4488004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24992"/>
        <c:crosses val="autoZero"/>
        <c:crossBetween val="between"/>
      </c:valAx>
      <c:valAx>
        <c:axId val="44880372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8801104"/>
        <c:crosses val="max"/>
        <c:crossBetween val="between"/>
      </c:valAx>
      <c:catAx>
        <c:axId val="448801104"/>
        <c:scaling>
          <c:orientation val="minMax"/>
        </c:scaling>
        <c:delete val="1"/>
        <c:axPos val="b"/>
        <c:majorTickMark val="out"/>
        <c:minorTickMark val="none"/>
        <c:tickLblPos val="nextTo"/>
        <c:crossAx val="44880372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29904.959999999999</c:v>
                </c:pt>
                <c:pt idx="1">
                  <c:v>34831.17</c:v>
                </c:pt>
                <c:pt idx="2">
                  <c:v>36800.129999999997</c:v>
                </c:pt>
                <c:pt idx="3">
                  <c:v>39300.83</c:v>
                </c:pt>
                <c:pt idx="4">
                  <c:v>41616.339999999997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BB-4864-8DCD-726DFD179D14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30381.879999999997</c:v>
                </c:pt>
                <c:pt idx="1">
                  <c:v>35433.369999999995</c:v>
                </c:pt>
                <c:pt idx="2">
                  <c:v>37727.549999999996</c:v>
                </c:pt>
                <c:pt idx="3">
                  <c:v>40484.57</c:v>
                </c:pt>
                <c:pt idx="4">
                  <c:v>42697.899999999994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BB-4864-8DCD-726DFD179D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2962080"/>
        <c:axId val="442964376"/>
      </c:barChart>
      <c:catAx>
        <c:axId val="442962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964376"/>
        <c:crosses val="autoZero"/>
        <c:auto val="1"/>
        <c:lblAlgn val="ctr"/>
        <c:lblOffset val="100"/>
        <c:noMultiLvlLbl val="0"/>
      </c:catAx>
      <c:valAx>
        <c:axId val="442964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29620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225316.05000000005</c:v>
                </c:pt>
                <c:pt idx="1">
                  <c:v>246916.57</c:v>
                </c:pt>
                <c:pt idx="2">
                  <c:v>256810.13999999996</c:v>
                </c:pt>
                <c:pt idx="3">
                  <c:v>255326.13</c:v>
                </c:pt>
                <c:pt idx="4">
                  <c:v>262698.83999999997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719-45F0-8C6A-8606911521E4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137183.17000000001</c:v>
                </c:pt>
                <c:pt idx="1">
                  <c:v>145647.99000000002</c:v>
                </c:pt>
                <c:pt idx="2">
                  <c:v>149649.88999999998</c:v>
                </c:pt>
                <c:pt idx="3">
                  <c:v>142811.41</c:v>
                </c:pt>
                <c:pt idx="4">
                  <c:v>146022.25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719-45F0-8C6A-8606911521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1495200"/>
        <c:axId val="441494544"/>
      </c:barChart>
      <c:catAx>
        <c:axId val="441495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494544"/>
        <c:crosses val="autoZero"/>
        <c:auto val="1"/>
        <c:lblAlgn val="ctr"/>
        <c:lblOffset val="100"/>
        <c:noMultiLvlLbl val="0"/>
      </c:catAx>
      <c:valAx>
        <c:axId val="4414945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4952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225316.05000000005</c:v>
                </c:pt>
                <c:pt idx="1">
                  <c:v>246916.57</c:v>
                </c:pt>
                <c:pt idx="2">
                  <c:v>256810.13999999996</c:v>
                </c:pt>
                <c:pt idx="3">
                  <c:v>255326.13</c:v>
                </c:pt>
                <c:pt idx="4">
                  <c:v>262698.83999999997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8-4D23-9CA7-511BEEBF56BD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33706.89</c:v>
                </c:pt>
                <c:pt idx="1">
                  <c:v>42621.210000000006</c:v>
                </c:pt>
                <c:pt idx="2">
                  <c:v>42307.979999999996</c:v>
                </c:pt>
                <c:pt idx="3">
                  <c:v>43001.64</c:v>
                </c:pt>
                <c:pt idx="4">
                  <c:v>28674.050000000003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8-4D23-9CA7-511BEEBF56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1224872"/>
        <c:axId val="551226512"/>
      </c:barChart>
      <c:catAx>
        <c:axId val="551224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226512"/>
        <c:crosses val="autoZero"/>
        <c:auto val="1"/>
        <c:lblAlgn val="ctr"/>
        <c:lblOffset val="100"/>
        <c:noMultiLvlLbl val="0"/>
      </c:catAx>
      <c:valAx>
        <c:axId val="55122651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22487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225316.05</c:v>
                </c:pt>
                <c:pt idx="1">
                  <c:v>246916.57</c:v>
                </c:pt>
                <c:pt idx="2">
                  <c:v>256810.13999999996</c:v>
                </c:pt>
                <c:pt idx="3">
                  <c:v>255326.12999999998</c:v>
                </c:pt>
                <c:pt idx="4">
                  <c:v>262698.83999999997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83-4E79-AB3C-8865A67C72DD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195090.81</c:v>
                </c:pt>
                <c:pt idx="1">
                  <c:v>200883.56</c:v>
                </c:pt>
                <c:pt idx="2">
                  <c:v>195299.63</c:v>
                </c:pt>
                <c:pt idx="3">
                  <c:v>175704.13999999998</c:v>
                </c:pt>
                <c:pt idx="4">
                  <c:v>161355.24000000002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83-4E79-AB3C-8865A67C72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8804056"/>
        <c:axId val="448797496"/>
      </c:barChart>
      <c:catAx>
        <c:axId val="448804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797496"/>
        <c:crosses val="autoZero"/>
        <c:auto val="1"/>
        <c:lblAlgn val="ctr"/>
        <c:lblOffset val="100"/>
        <c:noMultiLvlLbl val="0"/>
      </c:catAx>
      <c:valAx>
        <c:axId val="4487974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8040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225316.05</c:v>
                </c:pt>
                <c:pt idx="1">
                  <c:v>246916.57</c:v>
                </c:pt>
                <c:pt idx="2">
                  <c:v>256810.13999999996</c:v>
                </c:pt>
                <c:pt idx="3">
                  <c:v>255326.12999999998</c:v>
                </c:pt>
                <c:pt idx="4">
                  <c:v>262698.83999999997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B43-4347-A9CD-AE4AB4F7C495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30225.239999999998</c:v>
                </c:pt>
                <c:pt idx="1">
                  <c:v>46033.009999999995</c:v>
                </c:pt>
                <c:pt idx="2">
                  <c:v>61510.509999999951</c:v>
                </c:pt>
                <c:pt idx="3">
                  <c:v>79621.989999999991</c:v>
                </c:pt>
                <c:pt idx="4">
                  <c:v>101343.59999999996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B43-4347-A9CD-AE4AB4F7C4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9763424"/>
        <c:axId val="559759160"/>
      </c:barChart>
      <c:catAx>
        <c:axId val="5597634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759160"/>
        <c:crosses val="autoZero"/>
        <c:auto val="1"/>
        <c:lblAlgn val="ctr"/>
        <c:lblOffset val="100"/>
        <c:noMultiLvlLbl val="0"/>
      </c:catAx>
      <c:valAx>
        <c:axId val="5597591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76342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3836.79</c:v>
                </c:pt>
                <c:pt idx="1">
                  <c:v>4838.58</c:v>
                </c:pt>
                <c:pt idx="2">
                  <c:v>4803.3</c:v>
                </c:pt>
                <c:pt idx="3">
                  <c:v>4646.68</c:v>
                </c:pt>
                <c:pt idx="4">
                  <c:v>5049.4400000000005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DE-440B-A1B2-D04F7990F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786096"/>
        <c:axId val="62478740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30381.879999999997</c:v>
                </c:pt>
                <c:pt idx="1">
                  <c:v>35433.369999999995</c:v>
                </c:pt>
                <c:pt idx="2">
                  <c:v>37727.549999999996</c:v>
                </c:pt>
                <c:pt idx="3">
                  <c:v>40484.57</c:v>
                </c:pt>
                <c:pt idx="4">
                  <c:v>42697.899999999994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FDE-440B-A1B2-D04F7990F9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4790688"/>
        <c:axId val="624788392"/>
      </c:lineChart>
      <c:catAx>
        <c:axId val="624786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787408"/>
        <c:crosses val="autoZero"/>
        <c:auto val="1"/>
        <c:lblAlgn val="ctr"/>
        <c:lblOffset val="100"/>
        <c:noMultiLvlLbl val="0"/>
      </c:catAx>
      <c:valAx>
        <c:axId val="624787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786096"/>
        <c:crosses val="autoZero"/>
        <c:crossBetween val="between"/>
      </c:valAx>
      <c:valAx>
        <c:axId val="62478839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4790688"/>
        <c:crosses val="max"/>
        <c:crossBetween val="between"/>
      </c:valAx>
      <c:catAx>
        <c:axId val="624790688"/>
        <c:scaling>
          <c:orientation val="minMax"/>
        </c:scaling>
        <c:delete val="1"/>
        <c:axPos val="b"/>
        <c:majorTickMark val="out"/>
        <c:minorTickMark val="none"/>
        <c:tickLblPos val="nextTo"/>
        <c:crossAx val="624788392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4347.62</c:v>
                </c:pt>
                <c:pt idx="1">
                  <c:v>4221.3799999999947</c:v>
                </c:pt>
                <c:pt idx="2">
                  <c:v>6204.8999999999905</c:v>
                </c:pt>
                <c:pt idx="3">
                  <c:v>4660.8099999999995</c:v>
                </c:pt>
                <c:pt idx="4">
                  <c:v>16745.599999999991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87-4852-B940-F6E865561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019560"/>
        <c:axId val="558016936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8007.4</c:v>
                </c:pt>
                <c:pt idx="1">
                  <c:v>9676.7499999999945</c:v>
                </c:pt>
                <c:pt idx="2">
                  <c:v>9960.8599999999915</c:v>
                </c:pt>
                <c:pt idx="3">
                  <c:v>11482.8</c:v>
                </c:pt>
                <c:pt idx="4">
                  <c:v>16745.599999999991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87-4852-B940-F6E865561D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8017592"/>
        <c:axId val="558014968"/>
      </c:lineChart>
      <c:catAx>
        <c:axId val="558019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6936"/>
        <c:crosses val="autoZero"/>
        <c:auto val="1"/>
        <c:lblAlgn val="ctr"/>
        <c:lblOffset val="100"/>
        <c:noMultiLvlLbl val="0"/>
      </c:catAx>
      <c:valAx>
        <c:axId val="558016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9560"/>
        <c:crosses val="autoZero"/>
        <c:crossBetween val="between"/>
      </c:valAx>
      <c:valAx>
        <c:axId val="5580149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8017592"/>
        <c:crosses val="max"/>
        <c:crossBetween val="between"/>
      </c:valAx>
      <c:catAx>
        <c:axId val="558017592"/>
        <c:scaling>
          <c:orientation val="minMax"/>
        </c:scaling>
        <c:delete val="1"/>
        <c:axPos val="b"/>
        <c:majorTickMark val="out"/>
        <c:minorTickMark val="none"/>
        <c:tickLblPos val="nextTo"/>
        <c:crossAx val="55801496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D0A-4358-B7F1-8120A5BCFB1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D0A-4358-B7F1-8120A5BCFB1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0.38</c:v>
                </c:pt>
                <c:pt idx="1">
                  <c:v>0.47</c:v>
                </c:pt>
                <c:pt idx="2">
                  <c:v>0.31</c:v>
                </c:pt>
                <c:pt idx="3">
                  <c:v>0.59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D0A-4358-B7F1-8120A5BCFB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6552"/>
        <c:axId val="553816224"/>
      </c:lineChart>
      <c:catAx>
        <c:axId val="553816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6224"/>
        <c:crosses val="autoZero"/>
        <c:auto val="0"/>
        <c:lblAlgn val="ctr"/>
        <c:lblOffset val="100"/>
        <c:noMultiLvlLbl val="0"/>
      </c:catAx>
      <c:valAx>
        <c:axId val="5538162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65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9B0-43FD-A14A-FCD898D2067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9B0-43FD-A14A-FCD898D2067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-5.0599999999999996</c:v>
                </c:pt>
                <c:pt idx="1">
                  <c:v>-7.8599999999999994</c:v>
                </c:pt>
                <c:pt idx="2">
                  <c:v>-5.57</c:v>
                </c:pt>
                <c:pt idx="3">
                  <c:v>-12.66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9B0-43FD-A14A-FCD898D206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1368"/>
        <c:axId val="548322152"/>
      </c:lineChart>
      <c:catAx>
        <c:axId val="549541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2152"/>
        <c:crosses val="autoZero"/>
        <c:auto val="0"/>
        <c:lblAlgn val="ctr"/>
        <c:lblOffset val="100"/>
        <c:noMultiLvlLbl val="0"/>
      </c:catAx>
      <c:valAx>
        <c:axId val="548322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95413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2EE-4472-A32B-D26F8636B55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2EE-4472-A32B-D26F8636B55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2EE-4472-A32B-D26F8636B55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2EE-4472-A32B-D26F8636B55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29904.959999999999</c:v>
                </c:pt>
                <c:pt idx="1">
                  <c:v>34831.17</c:v>
                </c:pt>
                <c:pt idx="2">
                  <c:v>36800.129999999997</c:v>
                </c:pt>
                <c:pt idx="3">
                  <c:v>39300.83</c:v>
                </c:pt>
                <c:pt idx="4">
                  <c:v>41616.339999999997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2EE-4472-A32B-D26F8636B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9848"/>
        <c:axId val="553646240"/>
      </c:lineChart>
      <c:catAx>
        <c:axId val="553649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6240"/>
        <c:crosses val="autoZero"/>
        <c:auto val="0"/>
        <c:lblAlgn val="ctr"/>
        <c:lblOffset val="100"/>
        <c:noMultiLvlLbl val="0"/>
      </c:catAx>
      <c:valAx>
        <c:axId val="553646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649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876-4121-B9B1-E0C5098DFE3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876-4121-B9B1-E0C5098DFE3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876-4121-B9B1-E0C5098DFE3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C876-4121-B9B1-E0C5098DFE3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26068.17</c:v>
                </c:pt>
                <c:pt idx="1">
                  <c:v>29992.59</c:v>
                </c:pt>
                <c:pt idx="2">
                  <c:v>31996.83</c:v>
                </c:pt>
                <c:pt idx="3">
                  <c:v>34654.15</c:v>
                </c:pt>
                <c:pt idx="4">
                  <c:v>36566.9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876-4121-B9B1-E0C5098DFE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352"/>
        <c:axId val="548324776"/>
      </c:lineChart>
      <c:catAx>
        <c:axId val="54954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776"/>
        <c:crosses val="autoZero"/>
        <c:auto val="0"/>
        <c:lblAlgn val="ctr"/>
        <c:lblOffset val="100"/>
        <c:noMultiLvlLbl val="0"/>
      </c:catAx>
      <c:valAx>
        <c:axId val="548324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9542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988-410B-91AF-A10C88738A5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988-410B-91AF-A10C88738A5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988-410B-91AF-A10C88738A5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B988-410B-91AF-A10C88738A5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0.04</c:v>
                </c:pt>
                <c:pt idx="1">
                  <c:v>0.04</c:v>
                </c:pt>
                <c:pt idx="2">
                  <c:v>0.04</c:v>
                </c:pt>
                <c:pt idx="3">
                  <c:v>0.04</c:v>
                </c:pt>
                <c:pt idx="4">
                  <c:v>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988-410B-91AF-A10C88738A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262800"/>
        <c:axId val="450261488"/>
      </c:lineChart>
      <c:catAx>
        <c:axId val="450262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261488"/>
        <c:crosses val="autoZero"/>
        <c:auto val="0"/>
        <c:lblAlgn val="ctr"/>
        <c:lblOffset val="100"/>
        <c:noMultiLvlLbl val="0"/>
      </c:catAx>
      <c:valAx>
        <c:axId val="4502614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02628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3FE-4F90-8E26-9EA647CF2691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3FE-4F90-8E26-9EA647CF2691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3FE-4F90-8E26-9EA647CF269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33FE-4F90-8E26-9EA647CF269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0.06</c:v>
                </c:pt>
                <c:pt idx="1">
                  <c:v>7.0000000000000007E-2</c:v>
                </c:pt>
                <c:pt idx="2">
                  <c:v>7.0000000000000007E-2</c:v>
                </c:pt>
                <c:pt idx="3">
                  <c:v>0.08</c:v>
                </c:pt>
                <c:pt idx="4">
                  <c:v>0.08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3FE-4F90-8E26-9EA647CF2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8624"/>
        <c:axId val="449428952"/>
      </c:lineChart>
      <c:catAx>
        <c:axId val="44942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8952"/>
        <c:crosses val="autoZero"/>
        <c:auto val="0"/>
        <c:lblAlgn val="ctr"/>
        <c:lblOffset val="100"/>
        <c:noMultiLvlLbl val="0"/>
      </c:catAx>
      <c:valAx>
        <c:axId val="449428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8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77DDA3-B962-505F-D095-5C63CC2AF1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3F1E10E-CA76-B2ED-E1A7-F04CDC9D14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099339-18F8-448F-3822-2820C47BCB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7D4AC87-7255-6679-C302-CDB87D940B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86BCDC-B76C-9363-5026-55A9710291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44AE46-1C6C-CBBB-C3B1-F370E20D3C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320F17-F5EA-4942-6F47-EB354F86C3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6ABA57-C7D4-F48E-316E-C4B35CCE3C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49F1C57-646D-379E-433C-F92390C10D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B61E1B3-55C1-42F9-407D-1A9E4EDE6C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9246830-435B-FC60-F0A1-46313BC251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443F80-EDE2-675E-29EC-E402B76D8D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C2EA50-A34C-D270-F88E-A461268CC3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C942D6-5D05-4B08-DE26-AB1D3EA4F7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A05E1C8-8051-D724-F9C8-BB266BF474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8C24DD-DEDD-A457-C725-20EFFDCCC0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8B92C35-6109-5B6B-FAE3-93EB1C2E85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9D8AA3-26A6-AED6-FE85-7E18AB18AF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9A693BE-712D-5A18-FB26-2D50411306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E414C2-4A15-519B-9C36-0B28BA3F37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E4CC5C05-3270-A178-41CD-0A2F1141F0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2B27C5AC-C2B0-BC2A-A3AF-D21EA1A399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C41BFBC-F5FC-8CBE-73B8-DF3F7461DC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0F319845-25C9-D616-F117-9884A1CCFF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0209ED46-54B6-EE0E-C3A9-AFE146CCAD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FE7D3CB9-5F69-52E2-BA5D-CFDBEF2B7FF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B8D958AB-5D42-006B-2F69-D7C8FAE7CA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D40CB019-6847-F1BA-D28B-3691C5A6EF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0820733B-54DD-CA0E-7679-88B3A9B4F6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12CF86A1-7BF1-F1F8-6E6E-05F7379369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488E8669-90E0-98AD-C770-3D291A0B09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2A27ECEC-78FA-191E-715D-D0C098CFAA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ED41D901-86D4-6A34-D90D-C0D9D76B46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DA1DF26-D0DD-F5A1-0BB8-AFFB6EBA4C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7ED47A-A9E0-EE0C-2A87-82397052F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91F436-7BCD-E7AD-6311-A9DF7B0EAA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1284E16-175C-9AF2-36F2-A5D48E17B8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3B2107-5B56-C549-464E-B291A3B34C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95B452-8433-13C8-4D20-16C176F2E3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37795-8475-49EF-A5B8-CB328BA3AB54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 s="2">
        <v>5231.59</v>
      </c>
      <c r="D6" s="2">
        <v>5231.59</v>
      </c>
      <c r="E6" s="2">
        <v>5231.59</v>
      </c>
      <c r="F6" s="2">
        <v>5231.59</v>
      </c>
      <c r="G6" s="2">
        <v>6975.45</v>
      </c>
      <c r="H6" t="s">
        <v>1</v>
      </c>
    </row>
    <row r="7" spans="1:8" x14ac:dyDescent="0.25">
      <c r="B7" t="s">
        <v>6</v>
      </c>
      <c r="C7" s="2">
        <v>5231.59</v>
      </c>
      <c r="D7" s="2">
        <v>5231.59</v>
      </c>
      <c r="E7" s="2">
        <v>5231.59</v>
      </c>
      <c r="F7" s="2">
        <v>5231.59</v>
      </c>
      <c r="G7" s="2">
        <v>6975.45</v>
      </c>
      <c r="H7" t="s">
        <v>1</v>
      </c>
    </row>
    <row r="8" spans="1:8" x14ac:dyDescent="0.25">
      <c r="A8" t="s">
        <v>90</v>
      </c>
      <c r="B8" t="s">
        <v>7</v>
      </c>
      <c r="C8" s="2">
        <v>49194.400000000001</v>
      </c>
      <c r="D8" s="2">
        <v>53856.800000000003</v>
      </c>
      <c r="E8" s="2">
        <v>59463.76</v>
      </c>
      <c r="F8" s="2">
        <v>64704.480000000003</v>
      </c>
      <c r="G8" s="2">
        <v>69271.679999999993</v>
      </c>
      <c r="H8" t="s">
        <v>1</v>
      </c>
    </row>
    <row r="9" spans="1:8" x14ac:dyDescent="0.25">
      <c r="B9" t="s">
        <v>8</v>
      </c>
      <c r="C9" s="2">
        <v>49194.400000000001</v>
      </c>
      <c r="D9" s="2">
        <v>53856.800000000003</v>
      </c>
      <c r="E9" s="2">
        <v>59463.76</v>
      </c>
      <c r="F9" s="2">
        <v>64704.480000000003</v>
      </c>
      <c r="G9" s="2">
        <v>69271.679999999993</v>
      </c>
      <c r="H9" t="s">
        <v>1</v>
      </c>
    </row>
    <row r="10" spans="1:8" x14ac:dyDescent="0.25">
      <c r="B10" t="s">
        <v>9</v>
      </c>
      <c r="C10" s="2">
        <v>54425.99</v>
      </c>
      <c r="D10" s="2">
        <v>59088.39</v>
      </c>
      <c r="E10" s="2">
        <v>64695.35</v>
      </c>
      <c r="F10" s="2">
        <v>69936.070000000007</v>
      </c>
      <c r="G10" s="2">
        <v>76247.13</v>
      </c>
      <c r="H10" t="s">
        <v>1</v>
      </c>
    </row>
    <row r="11" spans="1:8" x14ac:dyDescent="0.25">
      <c r="A11" t="s">
        <v>10</v>
      </c>
      <c r="B11" t="s">
        <v>10</v>
      </c>
      <c r="C11">
        <v>0</v>
      </c>
      <c r="D11">
        <v>0</v>
      </c>
      <c r="E11">
        <v>0</v>
      </c>
      <c r="F11">
        <v>0</v>
      </c>
      <c r="G11">
        <v>0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122710.32</v>
      </c>
      <c r="D13" s="2">
        <v>131329.51</v>
      </c>
      <c r="E13" s="2">
        <v>135421.10999999999</v>
      </c>
      <c r="F13" s="2">
        <v>129174.79</v>
      </c>
      <c r="G13" s="2">
        <v>114199.4</v>
      </c>
      <c r="H13" t="s">
        <v>1</v>
      </c>
    </row>
    <row r="14" spans="1:8" x14ac:dyDescent="0.25">
      <c r="A14" t="s">
        <v>91</v>
      </c>
      <c r="B14" t="s">
        <v>13</v>
      </c>
      <c r="C14" s="2">
        <v>13472.85</v>
      </c>
      <c r="D14" s="2">
        <v>10018.48</v>
      </c>
      <c r="E14" s="2">
        <v>11228.78</v>
      </c>
      <c r="F14" s="2">
        <v>11836.62</v>
      </c>
      <c r="G14" s="2">
        <v>11356.98</v>
      </c>
      <c r="H14" t="s">
        <v>1</v>
      </c>
    </row>
    <row r="15" spans="1:8" x14ac:dyDescent="0.25">
      <c r="A15" t="s">
        <v>92</v>
      </c>
      <c r="B15" t="s">
        <v>14</v>
      </c>
      <c r="C15" s="2">
        <v>916.76</v>
      </c>
      <c r="D15" s="2">
        <v>4481.1000000000004</v>
      </c>
      <c r="E15" s="2">
        <v>3885.67</v>
      </c>
      <c r="F15" s="2">
        <v>3972.24</v>
      </c>
      <c r="G15">
        <v>13308.01</v>
      </c>
      <c r="H15" t="s">
        <v>1</v>
      </c>
    </row>
    <row r="16" spans="1:8" x14ac:dyDescent="0.25">
      <c r="A16" t="s">
        <v>93</v>
      </c>
      <c r="B16" t="s">
        <v>15</v>
      </c>
      <c r="C16">
        <v>716.87</v>
      </c>
      <c r="D16">
        <v>368.15</v>
      </c>
      <c r="E16">
        <v>424.71</v>
      </c>
      <c r="F16">
        <v>462.02</v>
      </c>
      <c r="G16">
        <v>517.14</v>
      </c>
      <c r="H16" t="s">
        <v>1</v>
      </c>
    </row>
    <row r="17" spans="1:8" x14ac:dyDescent="0.25">
      <c r="B17" t="s">
        <v>16</v>
      </c>
      <c r="C17" s="2">
        <v>137816.79999999999</v>
      </c>
      <c r="D17" s="2">
        <v>146197.24</v>
      </c>
      <c r="E17" s="2">
        <v>150960.26999999999</v>
      </c>
      <c r="F17" s="2">
        <v>145445.67000000001</v>
      </c>
      <c r="G17" s="2">
        <v>139381.53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1000</v>
      </c>
      <c r="D19" s="2">
        <v>4300</v>
      </c>
      <c r="E19" s="2">
        <v>3000</v>
      </c>
      <c r="F19" s="2">
        <v>1800</v>
      </c>
      <c r="G19" s="2">
        <v>20465.87</v>
      </c>
      <c r="H19" t="s">
        <v>1</v>
      </c>
    </row>
    <row r="20" spans="1:8" x14ac:dyDescent="0.25">
      <c r="A20" t="s">
        <v>92</v>
      </c>
      <c r="B20" t="s">
        <v>19</v>
      </c>
      <c r="C20">
        <v>240.44</v>
      </c>
      <c r="D20">
        <v>365.13</v>
      </c>
      <c r="E20">
        <v>226.54</v>
      </c>
      <c r="F20">
        <v>187.48</v>
      </c>
      <c r="G20">
        <v>267.10000000000002</v>
      </c>
      <c r="H20" t="s">
        <v>1</v>
      </c>
    </row>
    <row r="21" spans="1:8" x14ac:dyDescent="0.25">
      <c r="A21" t="s">
        <v>92</v>
      </c>
      <c r="B21" t="s">
        <v>20</v>
      </c>
      <c r="C21" s="2">
        <v>30773.22</v>
      </c>
      <c r="D21" s="2">
        <v>36705.69</v>
      </c>
      <c r="E21" s="2">
        <v>37029.019999999997</v>
      </c>
      <c r="F21" s="2">
        <v>37534.78</v>
      </c>
      <c r="G21" s="2">
        <v>13414.68</v>
      </c>
      <c r="H21" t="s">
        <v>1</v>
      </c>
    </row>
    <row r="22" spans="1:8" x14ac:dyDescent="0.25">
      <c r="A22" t="s">
        <v>93</v>
      </c>
      <c r="B22" t="s">
        <v>21</v>
      </c>
      <c r="C22" s="2">
        <v>1059.5999999999999</v>
      </c>
      <c r="D22">
        <v>701.14</v>
      </c>
      <c r="E22">
        <v>742.04</v>
      </c>
      <c r="F22">
        <v>845.12</v>
      </c>
      <c r="G22" s="2">
        <v>1167.1199999999999</v>
      </c>
      <c r="H22" t="s">
        <v>1</v>
      </c>
    </row>
    <row r="23" spans="1:8" x14ac:dyDescent="0.25">
      <c r="B23" t="s">
        <v>22</v>
      </c>
      <c r="C23" s="2">
        <v>33073.26</v>
      </c>
      <c r="D23" s="2">
        <v>42071.96</v>
      </c>
      <c r="E23" s="2">
        <v>40997.599999999999</v>
      </c>
      <c r="F23" s="2">
        <v>40367.379999999997</v>
      </c>
      <c r="G23" s="2">
        <v>35314.769999999997</v>
      </c>
      <c r="H23" t="s">
        <v>1</v>
      </c>
    </row>
    <row r="24" spans="1:8" x14ac:dyDescent="0.25">
      <c r="B24" t="s">
        <v>23</v>
      </c>
      <c r="C24" s="2">
        <v>225316.05</v>
      </c>
      <c r="D24" s="2">
        <v>247357.59</v>
      </c>
      <c r="E24" s="2">
        <v>256653.22</v>
      </c>
      <c r="F24" s="2">
        <v>255749.12</v>
      </c>
      <c r="G24" s="2">
        <v>250943.43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154831.41</v>
      </c>
      <c r="D27" s="2">
        <v>171058.02</v>
      </c>
      <c r="E27" s="2">
        <v>179449.85</v>
      </c>
      <c r="F27" s="2">
        <v>182109.02</v>
      </c>
      <c r="G27" s="2">
        <v>204626.44</v>
      </c>
      <c r="H27" t="s">
        <v>1</v>
      </c>
    </row>
    <row r="28" spans="1:8" x14ac:dyDescent="0.25">
      <c r="A28" t="s">
        <v>29</v>
      </c>
      <c r="B28" t="s">
        <v>27</v>
      </c>
      <c r="C28">
        <v>1366.86</v>
      </c>
      <c r="D28" s="2">
        <v>1681.6</v>
      </c>
      <c r="E28" s="2">
        <v>1662.28</v>
      </c>
      <c r="F28" s="2">
        <v>1616.95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37603.9</v>
      </c>
      <c r="D29" s="2">
        <v>37388.47</v>
      </c>
      <c r="E29" s="2">
        <v>34904.410000000003</v>
      </c>
      <c r="F29" s="2">
        <v>24679.8</v>
      </c>
      <c r="G29" s="2">
        <v>0</v>
      </c>
      <c r="H29" t="s">
        <v>1</v>
      </c>
    </row>
    <row r="30" spans="1:8" x14ac:dyDescent="0.25">
      <c r="B30" t="s">
        <v>29</v>
      </c>
      <c r="C30" s="2">
        <v>193866.84</v>
      </c>
      <c r="D30" s="2">
        <v>210370.68</v>
      </c>
      <c r="E30" s="2">
        <v>216289.54</v>
      </c>
      <c r="F30" s="2">
        <v>208563.76</v>
      </c>
      <c r="G30" s="2">
        <v>204626.44</v>
      </c>
      <c r="H30" t="s">
        <v>1</v>
      </c>
    </row>
    <row r="31" spans="1:8" x14ac:dyDescent="0.25">
      <c r="A31" t="s">
        <v>94</v>
      </c>
      <c r="B31" t="s">
        <v>30</v>
      </c>
      <c r="C31" s="2">
        <v>1223.97</v>
      </c>
      <c r="D31" s="2">
        <v>1296.42</v>
      </c>
      <c r="E31" s="2">
        <v>1431.08</v>
      </c>
      <c r="F31" s="2">
        <v>1485.55</v>
      </c>
      <c r="G31" s="2">
        <v>3787.64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>
        <v>0</v>
      </c>
      <c r="E32">
        <v>0</v>
      </c>
      <c r="F32">
        <v>0</v>
      </c>
      <c r="G32">
        <v>0</v>
      </c>
      <c r="H32" t="s">
        <v>1</v>
      </c>
    </row>
    <row r="33" spans="1:8" x14ac:dyDescent="0.25">
      <c r="A33" t="s">
        <v>95</v>
      </c>
      <c r="B33" t="s">
        <v>32</v>
      </c>
      <c r="C33">
        <v>139.99</v>
      </c>
      <c r="D33">
        <v>188.13</v>
      </c>
      <c r="E33">
        <v>271.58</v>
      </c>
      <c r="F33">
        <v>322.58</v>
      </c>
      <c r="G33">
        <v>406.45</v>
      </c>
      <c r="H33" t="s">
        <v>1</v>
      </c>
    </row>
    <row r="34" spans="1:8" x14ac:dyDescent="0.25">
      <c r="A34" t="s">
        <v>95</v>
      </c>
      <c r="B34" t="s">
        <v>33</v>
      </c>
      <c r="C34" s="2">
        <v>6614.03</v>
      </c>
      <c r="D34" s="2">
        <v>9757.2000000000007</v>
      </c>
      <c r="E34" s="2">
        <v>10426.030000000001</v>
      </c>
      <c r="F34" s="2">
        <v>9359.16</v>
      </c>
      <c r="G34" s="2">
        <v>9568.82</v>
      </c>
      <c r="H34" t="s">
        <v>1</v>
      </c>
    </row>
    <row r="35" spans="1:8" x14ac:dyDescent="0.25">
      <c r="B35" t="s">
        <v>34</v>
      </c>
      <c r="C35" s="2">
        <v>201844.83</v>
      </c>
      <c r="D35" s="2">
        <v>221612.43</v>
      </c>
      <c r="E35" s="2">
        <v>228418.23</v>
      </c>
      <c r="F35" s="2">
        <v>219731.05</v>
      </c>
      <c r="G35" s="2">
        <v>218389.35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0</v>
      </c>
      <c r="D37">
        <v>0</v>
      </c>
      <c r="E37">
        <v>0</v>
      </c>
      <c r="F37">
        <v>0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 s="2">
        <v>1049.3499999999999</v>
      </c>
      <c r="D38" s="2">
        <v>1247.25</v>
      </c>
      <c r="E38" s="2">
        <v>1433.46</v>
      </c>
      <c r="F38" s="2">
        <v>1366.94</v>
      </c>
      <c r="G38" s="2">
        <v>1357.17</v>
      </c>
      <c r="H38" t="s">
        <v>1</v>
      </c>
    </row>
    <row r="39" spans="1:8" x14ac:dyDescent="0.25">
      <c r="A39" t="s">
        <v>96</v>
      </c>
      <c r="B39" t="s">
        <v>38</v>
      </c>
      <c r="C39" s="2">
        <v>3640.02</v>
      </c>
      <c r="D39" s="2">
        <v>4728.1000000000004</v>
      </c>
      <c r="E39" s="2">
        <v>5040.71</v>
      </c>
      <c r="F39" s="2">
        <v>3675.53</v>
      </c>
      <c r="G39" s="2">
        <v>9475.07</v>
      </c>
      <c r="H39" t="s">
        <v>1</v>
      </c>
    </row>
    <row r="40" spans="1:8" x14ac:dyDescent="0.25">
      <c r="A40" t="s">
        <v>96</v>
      </c>
      <c r="B40" t="s">
        <v>39</v>
      </c>
      <c r="C40" s="2">
        <v>2189.02</v>
      </c>
      <c r="D40" s="2">
        <v>4336.6499999999996</v>
      </c>
      <c r="E40" s="2">
        <v>5438.97</v>
      </c>
      <c r="F40" s="2">
        <v>5358.71</v>
      </c>
      <c r="G40" s="2">
        <v>5048.18</v>
      </c>
      <c r="H40" t="s">
        <v>1</v>
      </c>
    </row>
    <row r="41" spans="1:8" x14ac:dyDescent="0.25">
      <c r="A41" t="s">
        <v>95</v>
      </c>
      <c r="B41" t="s">
        <v>40</v>
      </c>
      <c r="C41">
        <v>46.88</v>
      </c>
      <c r="D41">
        <v>130.99</v>
      </c>
      <c r="E41">
        <v>152.37</v>
      </c>
      <c r="F41">
        <v>127.05</v>
      </c>
      <c r="G41">
        <v>98.59</v>
      </c>
      <c r="H41" t="s">
        <v>1</v>
      </c>
    </row>
    <row r="42" spans="1:8" x14ac:dyDescent="0.25">
      <c r="A42" t="s">
        <v>95</v>
      </c>
      <c r="B42" t="s">
        <v>41</v>
      </c>
      <c r="C42" s="2">
        <v>16545.95</v>
      </c>
      <c r="D42" s="2">
        <v>15302.17</v>
      </c>
      <c r="E42" s="2">
        <v>16169.48</v>
      </c>
      <c r="F42" s="2">
        <v>25489.84</v>
      </c>
      <c r="G42" s="2">
        <v>16575.07</v>
      </c>
      <c r="H42" t="s">
        <v>1</v>
      </c>
    </row>
    <row r="43" spans="1:8" x14ac:dyDescent="0.25">
      <c r="B43" t="s">
        <v>42</v>
      </c>
      <c r="C43" s="2">
        <v>23471.22</v>
      </c>
      <c r="D43" s="2">
        <v>25745.16</v>
      </c>
      <c r="E43" s="2">
        <v>28234.99</v>
      </c>
      <c r="F43" s="2">
        <v>36018.07</v>
      </c>
      <c r="G43" s="2">
        <v>32554.080000000002</v>
      </c>
      <c r="H43" t="s">
        <v>1</v>
      </c>
    </row>
    <row r="44" spans="1:8" x14ac:dyDescent="0.25">
      <c r="B44" t="s">
        <v>43</v>
      </c>
      <c r="C44" s="2">
        <v>225316.05</v>
      </c>
      <c r="D44" s="2">
        <v>247357.59</v>
      </c>
      <c r="E44" s="2">
        <v>256653.22</v>
      </c>
      <c r="F44" s="2">
        <v>255749.12</v>
      </c>
      <c r="G44" s="2">
        <v>250943.43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33954.58</v>
      </c>
      <c r="D47" s="2">
        <v>19742.73</v>
      </c>
      <c r="E47" s="2">
        <v>21917.51</v>
      </c>
      <c r="F47" s="2">
        <v>15311.58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0</v>
      </c>
      <c r="D49">
        <v>0</v>
      </c>
      <c r="E49">
        <v>0</v>
      </c>
      <c r="F49">
        <v>0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104.88</v>
      </c>
      <c r="D51">
        <v>88.14</v>
      </c>
      <c r="E51">
        <v>46.5</v>
      </c>
      <c r="F51">
        <v>93.3</v>
      </c>
      <c r="G51">
        <v>0</v>
      </c>
      <c r="H51" t="s">
        <v>1</v>
      </c>
    </row>
    <row r="52" spans="2:8" x14ac:dyDescent="0.25">
      <c r="B52" t="s">
        <v>51</v>
      </c>
      <c r="C52">
        <v>23.9</v>
      </c>
      <c r="D52">
        <v>41.7</v>
      </c>
      <c r="E52">
        <v>52.4</v>
      </c>
      <c r="F52">
        <v>45.4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>
        <v>0</v>
      </c>
      <c r="E55">
        <v>0</v>
      </c>
      <c r="F55">
        <v>0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6C4D51-8284-44D6-B5AA-8F8E38DF3E1A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3034.33</v>
      </c>
      <c r="D6" s="16">
        <f>'Income Statement'!D28</f>
        <v>4514.87</v>
      </c>
      <c r="E6" s="16">
        <f>'Income Statement'!E28</f>
        <v>3118.02</v>
      </c>
      <c r="F6" s="16">
        <f>'Income Statement'!F28</f>
        <v>6821.99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500.46249999999998</v>
      </c>
      <c r="D7" s="16">
        <f>'Income Statement'!D35</f>
        <v>509.30263157894706</v>
      </c>
      <c r="E7" s="16">
        <f>'Income Statement'!E35</f>
        <v>474.32666666666626</v>
      </c>
      <c r="F7" s="16">
        <f>'Income Statement'!F35</f>
        <v>499.25217391304346</v>
      </c>
      <c r="G7" s="16">
        <f>'Income Statement'!G35</f>
        <v>697.73333333333301</v>
      </c>
    </row>
    <row r="8" spans="2:7" ht="18.75" x14ac:dyDescent="0.25">
      <c r="B8" s="15" t="s">
        <v>148</v>
      </c>
      <c r="C8" s="16">
        <f>ROUND(C6/C7, 2)</f>
        <v>6.06</v>
      </c>
      <c r="D8" s="16">
        <f t="shared" ref="D8:G8" si="0">ROUND(D6/D7, 2)</f>
        <v>8.86</v>
      </c>
      <c r="E8" s="16">
        <f t="shared" si="0"/>
        <v>6.57</v>
      </c>
      <c r="F8" s="16">
        <f t="shared" si="0"/>
        <v>13.66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8007.4</v>
      </c>
      <c r="D9" s="16">
        <f>'Income Statement'!D27</f>
        <v>9676.7499999999945</v>
      </c>
      <c r="E9" s="16">
        <f>'Income Statement'!E27</f>
        <v>9960.8599999999915</v>
      </c>
      <c r="F9" s="16">
        <f>'Income Statement'!F27</f>
        <v>11482.8</v>
      </c>
      <c r="G9" s="16">
        <f>'Income Statement'!G27</f>
        <v>16745.599999999991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500.46249999999998</v>
      </c>
      <c r="D10" s="16">
        <f>'Income Statement'!D35</f>
        <v>509.30263157894706</v>
      </c>
      <c r="E10" s="16">
        <f>'Income Statement'!E35</f>
        <v>474.32666666666626</v>
      </c>
      <c r="F10" s="16">
        <f>'Income Statement'!F35</f>
        <v>499.25217391304346</v>
      </c>
      <c r="G10" s="16">
        <f>'Income Statement'!G35</f>
        <v>697.73333333333301</v>
      </c>
    </row>
    <row r="11" spans="2:7" ht="18.75" x14ac:dyDescent="0.25">
      <c r="B11" s="15" t="s">
        <v>146</v>
      </c>
      <c r="C11" s="16">
        <f>C9/C10</f>
        <v>16</v>
      </c>
      <c r="D11" s="16">
        <f t="shared" ref="D11:G11" si="1">D9/D10</f>
        <v>19</v>
      </c>
      <c r="E11" s="16">
        <f t="shared" si="1"/>
        <v>21</v>
      </c>
      <c r="F11" s="16">
        <f t="shared" si="1"/>
        <v>23</v>
      </c>
      <c r="G11" s="16">
        <f t="shared" si="1"/>
        <v>24</v>
      </c>
    </row>
    <row r="12" spans="2:7" ht="18.75" x14ac:dyDescent="0.25">
      <c r="B12" s="17" t="s">
        <v>152</v>
      </c>
      <c r="C12" s="17">
        <f>ROUND(C8/C11, 2)</f>
        <v>0.38</v>
      </c>
      <c r="D12" s="17">
        <f t="shared" ref="D12:G12" si="2">ROUND(D8/D11, 2)</f>
        <v>0.47</v>
      </c>
      <c r="E12" s="17">
        <f t="shared" si="2"/>
        <v>0.31</v>
      </c>
      <c r="F12" s="17">
        <f t="shared" si="2"/>
        <v>0.59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525E36-DAA4-42FE-8372-DE2CE9F9D2D6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5" width="13.5703125" bestFit="1" customWidth="1"/>
    <col min="6" max="6" width="15.14062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3034.33</v>
      </c>
      <c r="D6" s="16">
        <f>'Income Statement'!D28</f>
        <v>4514.87</v>
      </c>
      <c r="E6" s="16">
        <f>'Income Statement'!E28</f>
        <v>3118.02</v>
      </c>
      <c r="F6" s="16">
        <f>'Income Statement'!F28</f>
        <v>6821.99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500.46249999999998</v>
      </c>
      <c r="D7" s="16">
        <f>'Income Statement'!D35</f>
        <v>509.30263157894706</v>
      </c>
      <c r="E7" s="16">
        <f>'Income Statement'!E35</f>
        <v>474.32666666666626</v>
      </c>
      <c r="F7" s="16">
        <f>'Income Statement'!F35</f>
        <v>499.25217391304346</v>
      </c>
      <c r="G7" s="16">
        <f>'Income Statement'!G35</f>
        <v>697.73333333333301</v>
      </c>
    </row>
    <row r="8" spans="2:7" ht="18.75" x14ac:dyDescent="0.25">
      <c r="B8" s="15" t="s">
        <v>154</v>
      </c>
      <c r="C8" s="16">
        <f>ROUND(C6/C7, 2)</f>
        <v>6.06</v>
      </c>
      <c r="D8" s="16">
        <f t="shared" ref="D8:G8" si="0">ROUND(D6/D7, 2)</f>
        <v>8.86</v>
      </c>
      <c r="E8" s="16">
        <f t="shared" si="0"/>
        <v>6.57</v>
      </c>
      <c r="F8" s="16">
        <f t="shared" si="0"/>
        <v>13.66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-5.0599999999999996</v>
      </c>
      <c r="D9" s="27">
        <f t="shared" ref="D9:G9" si="1">1-D8</f>
        <v>-7.8599999999999994</v>
      </c>
      <c r="E9" s="27">
        <f t="shared" si="1"/>
        <v>-5.57</v>
      </c>
      <c r="F9" s="27">
        <f t="shared" si="1"/>
        <v>-12.66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F76DF-D712-4310-8D5A-BA8E167587C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0</v>
      </c>
      <c r="D7" s="16">
        <f>'Income Statement'!D11</f>
        <v>0</v>
      </c>
      <c r="E7" s="16">
        <f>'Income Statement'!E11</f>
        <v>0</v>
      </c>
      <c r="F7" s="16">
        <f>'Income Statement'!F11</f>
        <v>0</v>
      </c>
      <c r="G7" s="16">
        <f>'Income Statement'!G11</f>
        <v>0</v>
      </c>
    </row>
    <row r="8" spans="2:7" ht="18.75" x14ac:dyDescent="0.25">
      <c r="B8" s="17" t="s">
        <v>157</v>
      </c>
      <c r="C8" s="28">
        <f>ROUND(C6- C7, 2)</f>
        <v>29904.959999999999</v>
      </c>
      <c r="D8" s="28">
        <f t="shared" ref="D8:G8" si="0">ROUND(D6- D7, 2)</f>
        <v>34831.17</v>
      </c>
      <c r="E8" s="28">
        <f t="shared" si="0"/>
        <v>36800.129999999997</v>
      </c>
      <c r="F8" s="28">
        <f t="shared" si="0"/>
        <v>39300.83</v>
      </c>
      <c r="G8" s="28">
        <f t="shared" si="0"/>
        <v>41616.339999999997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D5676-A1D5-451A-88E8-BFAC99B04AE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'Income Statement'!B15</f>
        <v>Total Expenditure</v>
      </c>
      <c r="C7" s="16">
        <f>'Income Statement'!C15</f>
        <v>3836.79</v>
      </c>
      <c r="D7" s="16">
        <f>'Income Statement'!D15</f>
        <v>4838.58</v>
      </c>
      <c r="E7" s="16">
        <f>'Income Statement'!E15</f>
        <v>4803.3</v>
      </c>
      <c r="F7" s="16">
        <f>'Income Statement'!F15</f>
        <v>4646.68</v>
      </c>
      <c r="G7" s="16">
        <f>'Income Statement'!G15</f>
        <v>5049.4400000000005</v>
      </c>
    </row>
    <row r="8" spans="2:7" ht="18.75" x14ac:dyDescent="0.25">
      <c r="B8" s="17" t="s">
        <v>159</v>
      </c>
      <c r="C8" s="28">
        <f>ROUND(C6- C7, 2)</f>
        <v>26068.17</v>
      </c>
      <c r="D8" s="28">
        <f t="shared" ref="D8:G8" si="0">ROUND(D6- D7, 2)</f>
        <v>29992.59</v>
      </c>
      <c r="E8" s="28">
        <f t="shared" si="0"/>
        <v>31996.83</v>
      </c>
      <c r="F8" s="28">
        <f t="shared" si="0"/>
        <v>34654.15</v>
      </c>
      <c r="G8" s="28">
        <f t="shared" si="0"/>
        <v>36566.9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80905-FB35-4F8F-A432-30E7CA86897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8007.4</v>
      </c>
      <c r="D6" s="16">
        <f>'Income Statement'!D27</f>
        <v>9676.7499999999945</v>
      </c>
      <c r="E6" s="16">
        <f>'Income Statement'!E27</f>
        <v>9960.8599999999915</v>
      </c>
      <c r="F6" s="16">
        <f>'Income Statement'!F27</f>
        <v>11482.8</v>
      </c>
      <c r="G6" s="16">
        <f>'Income Statement'!G27</f>
        <v>16745.599999999991</v>
      </c>
    </row>
    <row r="7" spans="2:7" ht="18.75" x14ac:dyDescent="0.25">
      <c r="B7" s="15" t="str">
        <f>'Balance Sheet'!B40</f>
        <v>Total Assets</v>
      </c>
      <c r="C7" s="16">
        <f>'Balance Sheet'!C40</f>
        <v>225316.05</v>
      </c>
      <c r="D7" s="16">
        <f>'Balance Sheet'!D40</f>
        <v>246916.57</v>
      </c>
      <c r="E7" s="16">
        <f>'Balance Sheet'!E40</f>
        <v>256810.13999999996</v>
      </c>
      <c r="F7" s="16">
        <f>'Balance Sheet'!F40</f>
        <v>255326.12999999998</v>
      </c>
      <c r="G7" s="16">
        <f>'Balance Sheet'!G40</f>
        <v>262698.83999999997</v>
      </c>
    </row>
    <row r="8" spans="2:7" ht="18.75" x14ac:dyDescent="0.25">
      <c r="B8" s="17" t="s">
        <v>161</v>
      </c>
      <c r="C8" s="27">
        <f>ROUND(C6/ C7, 2)</f>
        <v>0.04</v>
      </c>
      <c r="D8" s="27">
        <f t="shared" ref="D8:G8" si="0">ROUND(D6/ D7, 2)</f>
        <v>0.04</v>
      </c>
      <c r="E8" s="27">
        <f t="shared" si="0"/>
        <v>0.04</v>
      </c>
      <c r="F8" s="27">
        <f t="shared" si="0"/>
        <v>0.04</v>
      </c>
      <c r="G8" s="27">
        <f t="shared" si="0"/>
        <v>0.06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6B6C5-1ECE-46AF-838C-ADE569A1DCAA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17314.099999999999</v>
      </c>
      <c r="D6" s="16">
        <f>'Income Statement'!D19</f>
        <v>20053.839999999993</v>
      </c>
      <c r="E6" s="16">
        <f>'Income Statement'!E19</f>
        <v>21317.209999999992</v>
      </c>
      <c r="F6" s="16">
        <f>'Income Statement'!F19</f>
        <v>23798.699999999997</v>
      </c>
      <c r="G6" s="16">
        <f>'Income Statement'!G19</f>
        <v>24776.799999999992</v>
      </c>
    </row>
    <row r="7" spans="2:7" ht="18.75" x14ac:dyDescent="0.25">
      <c r="B7" s="15" t="str">
        <f>'Balance Sheet'!B13</f>
        <v>Total Debt</v>
      </c>
      <c r="C7" s="16">
        <f>'Balance Sheet'!C13</f>
        <v>137183.17000000001</v>
      </c>
      <c r="D7" s="16">
        <f>'Balance Sheet'!D13</f>
        <v>145647.99000000002</v>
      </c>
      <c r="E7" s="16">
        <f>'Balance Sheet'!E13</f>
        <v>149649.88999999998</v>
      </c>
      <c r="F7" s="16">
        <f>'Balance Sheet'!F13</f>
        <v>142811.41</v>
      </c>
      <c r="G7" s="16">
        <f>'Balance Sheet'!G13</f>
        <v>146022.25</v>
      </c>
    </row>
    <row r="8" spans="2:7" ht="18.75" x14ac:dyDescent="0.25">
      <c r="B8" s="15" t="str">
        <f>'Balance Sheet'!B9</f>
        <v>Net Worth</v>
      </c>
      <c r="C8" s="16">
        <f>'Balance Sheet'!C9</f>
        <v>54425.990000000005</v>
      </c>
      <c r="D8" s="16">
        <f>'Balance Sheet'!D9</f>
        <v>58647.369999999995</v>
      </c>
      <c r="E8" s="16">
        <f>'Balance Sheet'!E9</f>
        <v>64852.26999999999</v>
      </c>
      <c r="F8" s="16">
        <f>'Balance Sheet'!F9</f>
        <v>69513.079999999987</v>
      </c>
      <c r="G8" s="16">
        <f>'Balance Sheet'!G9</f>
        <v>88002.539999999979</v>
      </c>
    </row>
    <row r="9" spans="2:7" ht="18.75" x14ac:dyDescent="0.25">
      <c r="B9" s="17" t="s">
        <v>163</v>
      </c>
      <c r="C9" s="27">
        <f>ROUND(C6/ (C7+ C7), 2)</f>
        <v>0.06</v>
      </c>
      <c r="D9" s="27">
        <f t="shared" ref="D9:G9" si="0">ROUND(D6/ (D7+ D7), 2)</f>
        <v>7.0000000000000007E-2</v>
      </c>
      <c r="E9" s="27">
        <f t="shared" si="0"/>
        <v>7.0000000000000007E-2</v>
      </c>
      <c r="F9" s="27">
        <f t="shared" si="0"/>
        <v>0.08</v>
      </c>
      <c r="G9" s="27">
        <f t="shared" si="0"/>
        <v>0.08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7B25D-6433-47D6-B002-3F5E3A2F3CB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8007.4</v>
      </c>
      <c r="D6" s="16">
        <f>'Income Statement'!D27</f>
        <v>9676.7499999999945</v>
      </c>
      <c r="E6" s="16">
        <f>'Income Statement'!E27</f>
        <v>9960.8599999999915</v>
      </c>
      <c r="F6" s="16">
        <f>'Income Statement'!F27</f>
        <v>11482.8</v>
      </c>
      <c r="G6" s="16">
        <f>'Income Statement'!G27</f>
        <v>16745.599999999991</v>
      </c>
    </row>
    <row r="7" spans="2:7" ht="18.75" x14ac:dyDescent="0.25">
      <c r="B7" s="15" t="str">
        <f>'Balance Sheet'!B9</f>
        <v>Net Worth</v>
      </c>
      <c r="C7" s="16">
        <f>'Balance Sheet'!C9</f>
        <v>54425.990000000005</v>
      </c>
      <c r="D7" s="16">
        <f>'Balance Sheet'!D9</f>
        <v>58647.369999999995</v>
      </c>
      <c r="E7" s="16">
        <f>'Balance Sheet'!E9</f>
        <v>64852.26999999999</v>
      </c>
      <c r="F7" s="16">
        <f>'Balance Sheet'!F9</f>
        <v>69513.079999999987</v>
      </c>
      <c r="G7" s="16">
        <f>'Balance Sheet'!G9</f>
        <v>88002.539999999979</v>
      </c>
    </row>
    <row r="8" spans="2:7" ht="18.75" x14ac:dyDescent="0.25">
      <c r="B8" s="17" t="s">
        <v>165</v>
      </c>
      <c r="C8" s="27">
        <f>ROUND(C6/ (C7+ C7), 2)</f>
        <v>7.0000000000000007E-2</v>
      </c>
      <c r="D8" s="27">
        <f t="shared" ref="D8:G8" si="0">ROUND(D6/ (D7+ D7), 2)</f>
        <v>0.08</v>
      </c>
      <c r="E8" s="27">
        <f t="shared" si="0"/>
        <v>0.08</v>
      </c>
      <c r="F8" s="27">
        <f t="shared" si="0"/>
        <v>0.08</v>
      </c>
      <c r="G8" s="27">
        <f t="shared" si="0"/>
        <v>0.1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2913C9-9502-40D4-9AC2-C6CB13214D9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137183.17000000001</v>
      </c>
      <c r="D6" s="16">
        <f>'Balance Sheet'!D13</f>
        <v>145647.99000000002</v>
      </c>
      <c r="E6" s="16">
        <f>'Balance Sheet'!E13</f>
        <v>149649.88999999998</v>
      </c>
      <c r="F6" s="16">
        <f>'Balance Sheet'!F13</f>
        <v>142811.41</v>
      </c>
      <c r="G6" s="16">
        <f>'Balance Sheet'!G13</f>
        <v>146022.25</v>
      </c>
    </row>
    <row r="7" spans="2:7" ht="18.75" x14ac:dyDescent="0.25">
      <c r="B7" s="15" t="str">
        <f>'Balance Sheet'!B9</f>
        <v>Net Worth</v>
      </c>
      <c r="C7" s="16">
        <f>'Balance Sheet'!C9</f>
        <v>54425.990000000005</v>
      </c>
      <c r="D7" s="16">
        <f>'Balance Sheet'!D9</f>
        <v>58647.369999999995</v>
      </c>
      <c r="E7" s="16">
        <f>'Balance Sheet'!E9</f>
        <v>64852.26999999999</v>
      </c>
      <c r="F7" s="16">
        <f>'Balance Sheet'!F9</f>
        <v>69513.079999999987</v>
      </c>
      <c r="G7" s="16">
        <f>'Balance Sheet'!G9</f>
        <v>88002.539999999979</v>
      </c>
    </row>
    <row r="8" spans="2:7" ht="18.75" x14ac:dyDescent="0.25">
      <c r="B8" s="17" t="s">
        <v>167</v>
      </c>
      <c r="C8" s="17">
        <f>ROUND(C6/ C7, 2)</f>
        <v>2.52</v>
      </c>
      <c r="D8" s="17">
        <f t="shared" ref="D8:G8" si="0">ROUND(D6/ D7, 2)</f>
        <v>2.48</v>
      </c>
      <c r="E8" s="17">
        <f t="shared" si="0"/>
        <v>2.31</v>
      </c>
      <c r="F8" s="17">
        <f t="shared" si="0"/>
        <v>2.0499999999999998</v>
      </c>
      <c r="G8" s="17">
        <f t="shared" si="0"/>
        <v>1.66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1F22A-B55B-4BAA-BD5A-E5EF72C59B6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30225.239999999998</v>
      </c>
      <c r="D6" s="16">
        <f>'Balance Sheet'!D39</f>
        <v>46033.009999999995</v>
      </c>
      <c r="E6" s="16">
        <f>'Balance Sheet'!E39</f>
        <v>61510.509999999951</v>
      </c>
      <c r="F6" s="16">
        <f>'Balance Sheet'!F39</f>
        <v>79621.989999999991</v>
      </c>
      <c r="G6" s="16">
        <f>'Balance Sheet'!G39</f>
        <v>101343.59999999996</v>
      </c>
    </row>
    <row r="7" spans="2:7" ht="18.75" x14ac:dyDescent="0.25">
      <c r="B7" s="15" t="str">
        <f>'Balance Sheet'!B19</f>
        <v>Total Current Liabilities</v>
      </c>
      <c r="C7" s="16">
        <f>'Balance Sheet'!C19</f>
        <v>33706.89</v>
      </c>
      <c r="D7" s="16">
        <f>'Balance Sheet'!D19</f>
        <v>42621.210000000006</v>
      </c>
      <c r="E7" s="16">
        <f>'Balance Sheet'!E19</f>
        <v>42307.979999999996</v>
      </c>
      <c r="F7" s="16">
        <f>'Balance Sheet'!F19</f>
        <v>43001.64</v>
      </c>
      <c r="G7" s="16">
        <f>'Balance Sheet'!G19</f>
        <v>28674.050000000003</v>
      </c>
    </row>
    <row r="8" spans="2:7" ht="18.75" x14ac:dyDescent="0.25">
      <c r="B8" s="17" t="s">
        <v>169</v>
      </c>
      <c r="C8" s="17">
        <f>ROUND(C6/ C7, 2)</f>
        <v>0.9</v>
      </c>
      <c r="D8" s="17">
        <f t="shared" ref="D8:G8" si="0">ROUND(D6/ D7, 2)</f>
        <v>1.08</v>
      </c>
      <c r="E8" s="17">
        <f t="shared" si="0"/>
        <v>1.45</v>
      </c>
      <c r="F8" s="17">
        <f t="shared" si="0"/>
        <v>1.85</v>
      </c>
      <c r="G8" s="17">
        <f t="shared" si="0"/>
        <v>3.53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62E59-8842-455E-8EEF-2EC8FC36FF3A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30225.239999999998</v>
      </c>
      <c r="D6" s="16">
        <f>'Balance Sheet'!D39</f>
        <v>46033.009999999995</v>
      </c>
      <c r="E6" s="16">
        <f>'Balance Sheet'!E39</f>
        <v>61510.509999999951</v>
      </c>
      <c r="F6" s="16">
        <f>'Balance Sheet'!F39</f>
        <v>79621.989999999991</v>
      </c>
      <c r="G6" s="16">
        <f>'Balance Sheet'!G39</f>
        <v>101343.59999999996</v>
      </c>
    </row>
    <row r="7" spans="2:7" ht="18.75" x14ac:dyDescent="0.25">
      <c r="B7" s="15" t="str">
        <f>'Balance Sheet'!B36</f>
        <v>Inventories</v>
      </c>
      <c r="C7" s="16">
        <f>'Balance Sheet'!C36</f>
        <v>1049.3499999999999</v>
      </c>
      <c r="D7" s="16">
        <f>'Balance Sheet'!D36</f>
        <v>1247.25</v>
      </c>
      <c r="E7" s="16">
        <f>'Balance Sheet'!E36</f>
        <v>1433.46</v>
      </c>
      <c r="F7" s="16">
        <f>'Balance Sheet'!F36</f>
        <v>1366.94</v>
      </c>
      <c r="G7" s="16">
        <f>'Balance Sheet'!G36</f>
        <v>1357.17</v>
      </c>
    </row>
    <row r="8" spans="2:7" ht="18.75" x14ac:dyDescent="0.25">
      <c r="B8" s="15" t="str">
        <f>'Balance Sheet'!B19</f>
        <v>Total Current Liabilities</v>
      </c>
      <c r="C8" s="16">
        <f>'Balance Sheet'!C19</f>
        <v>33706.89</v>
      </c>
      <c r="D8" s="16">
        <f>'Balance Sheet'!D19</f>
        <v>42621.210000000006</v>
      </c>
      <c r="E8" s="16">
        <f>'Balance Sheet'!E19</f>
        <v>42307.979999999996</v>
      </c>
      <c r="F8" s="16">
        <f>'Balance Sheet'!F19</f>
        <v>43001.64</v>
      </c>
      <c r="G8" s="16">
        <f>'Balance Sheet'!G19</f>
        <v>28674.050000000003</v>
      </c>
    </row>
    <row r="9" spans="2:7" ht="18.75" x14ac:dyDescent="0.25">
      <c r="B9" s="17" t="s">
        <v>171</v>
      </c>
      <c r="C9" s="17">
        <f>ROUND((C6-C7)/ C8, 2)</f>
        <v>0.87</v>
      </c>
      <c r="D9" s="17">
        <f t="shared" ref="D9:G9" si="0">ROUND((D6-D7)/ D8, 2)</f>
        <v>1.05</v>
      </c>
      <c r="E9" s="17">
        <f t="shared" si="0"/>
        <v>1.42</v>
      </c>
      <c r="F9" s="17">
        <f t="shared" si="0"/>
        <v>1.82</v>
      </c>
      <c r="G9" s="17">
        <f t="shared" si="0"/>
        <v>3.49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1142C-2273-4990-8A85-B2FE7764C72D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29904.959999999999</v>
      </c>
      <c r="D5" s="2">
        <v>34831.17</v>
      </c>
      <c r="E5" s="2">
        <v>36800.129999999997</v>
      </c>
      <c r="F5" s="2">
        <v>39300.83</v>
      </c>
      <c r="G5" s="2">
        <v>41616.339999999997</v>
      </c>
      <c r="H5" t="s">
        <v>1</v>
      </c>
    </row>
    <row r="6" spans="1:8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29904.959999999999</v>
      </c>
      <c r="D7" s="2">
        <v>34831.17</v>
      </c>
      <c r="E7" s="2">
        <v>36800.129999999997</v>
      </c>
      <c r="F7" s="2">
        <v>39300.83</v>
      </c>
      <c r="G7" s="2">
        <v>41616.339999999997</v>
      </c>
      <c r="H7" t="s">
        <v>1</v>
      </c>
    </row>
    <row r="8" spans="1:8" x14ac:dyDescent="0.25">
      <c r="B8" t="s">
        <v>58</v>
      </c>
      <c r="C8" s="2">
        <v>29953.62</v>
      </c>
      <c r="D8" s="2">
        <v>35059.120000000003</v>
      </c>
      <c r="E8" s="2">
        <v>37743.54</v>
      </c>
      <c r="F8" s="2">
        <v>39639.79</v>
      </c>
      <c r="G8" s="2">
        <v>41616.339999999997</v>
      </c>
      <c r="H8" t="s">
        <v>1</v>
      </c>
    </row>
    <row r="9" spans="1:8" x14ac:dyDescent="0.25">
      <c r="A9" t="s">
        <v>59</v>
      </c>
      <c r="B9" t="s">
        <v>59</v>
      </c>
      <c r="C9" s="2">
        <v>476.92</v>
      </c>
      <c r="D9" s="2">
        <v>602.20000000000005</v>
      </c>
      <c r="E9">
        <v>927.42</v>
      </c>
      <c r="F9">
        <v>1183.74</v>
      </c>
      <c r="G9">
        <v>1081.56</v>
      </c>
      <c r="H9" t="s">
        <v>1</v>
      </c>
    </row>
    <row r="10" spans="1:8" x14ac:dyDescent="0.25">
      <c r="B10" t="s">
        <v>60</v>
      </c>
      <c r="C10" s="2">
        <v>30430.54</v>
      </c>
      <c r="D10" s="2">
        <v>35661.32</v>
      </c>
      <c r="E10" s="2">
        <v>38670.959999999999</v>
      </c>
      <c r="F10" s="2">
        <v>40823.53</v>
      </c>
      <c r="G10" s="2">
        <v>42697.9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</v>
      </c>
    </row>
    <row r="13" spans="1:8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1</v>
      </c>
    </row>
    <row r="16" spans="1:8" x14ac:dyDescent="0.25">
      <c r="A16" t="s">
        <v>99</v>
      </c>
      <c r="B16" t="s">
        <v>66</v>
      </c>
      <c r="C16" s="2">
        <v>1599.09</v>
      </c>
      <c r="D16" s="2">
        <v>1783.57</v>
      </c>
      <c r="E16" s="2">
        <v>1959.75</v>
      </c>
      <c r="F16" s="2">
        <v>2114.7600000000002</v>
      </c>
      <c r="G16" s="2">
        <v>2243.89</v>
      </c>
      <c r="H16" t="s">
        <v>1</v>
      </c>
    </row>
    <row r="17" spans="1:8" x14ac:dyDescent="0.25">
      <c r="A17" t="s">
        <v>100</v>
      </c>
      <c r="B17" t="s">
        <v>67</v>
      </c>
      <c r="C17" s="2">
        <v>7324.14</v>
      </c>
      <c r="D17" s="2">
        <v>8736.57</v>
      </c>
      <c r="E17" s="2">
        <v>9509</v>
      </c>
      <c r="F17" s="2">
        <v>8134.69</v>
      </c>
      <c r="G17" s="2">
        <v>8036.22</v>
      </c>
      <c r="H17" t="s">
        <v>1</v>
      </c>
    </row>
    <row r="18" spans="1:8" x14ac:dyDescent="0.25">
      <c r="A18" t="s">
        <v>101</v>
      </c>
      <c r="B18" t="s">
        <v>68</v>
      </c>
      <c r="C18" s="2">
        <v>9230.99</v>
      </c>
      <c r="D18" s="2">
        <v>10540.95</v>
      </c>
      <c r="E18" s="2">
        <v>11607.04</v>
      </c>
      <c r="F18" s="2">
        <v>12039.19</v>
      </c>
      <c r="G18" s="2">
        <v>12871.66</v>
      </c>
      <c r="H18" t="s">
        <v>1</v>
      </c>
    </row>
    <row r="19" spans="1:8" x14ac:dyDescent="0.25">
      <c r="A19" t="s">
        <v>99</v>
      </c>
      <c r="B19" t="s">
        <v>69</v>
      </c>
      <c r="C19" s="2">
        <v>2237.6999999999998</v>
      </c>
      <c r="D19" s="2">
        <v>3055.01</v>
      </c>
      <c r="E19" s="2">
        <v>2843.55</v>
      </c>
      <c r="F19" s="2">
        <v>2531.92</v>
      </c>
      <c r="G19" s="2">
        <v>2805.55</v>
      </c>
      <c r="H19" t="s">
        <v>1</v>
      </c>
    </row>
    <row r="20" spans="1:8" x14ac:dyDescent="0.25">
      <c r="B20" t="s">
        <v>70</v>
      </c>
      <c r="C20" s="2">
        <v>20391.919999999998</v>
      </c>
      <c r="D20" s="2">
        <v>24116.1</v>
      </c>
      <c r="E20" s="2">
        <v>25919.34</v>
      </c>
      <c r="F20" s="2">
        <v>24820.560000000001</v>
      </c>
      <c r="G20" s="2">
        <v>25957.32</v>
      </c>
      <c r="H20" t="s">
        <v>1</v>
      </c>
    </row>
    <row r="21" spans="1:8" x14ac:dyDescent="0.25">
      <c r="B21" t="s">
        <v>71</v>
      </c>
      <c r="C21" s="2">
        <v>10038.620000000001</v>
      </c>
      <c r="D21" s="2">
        <v>11545.22</v>
      </c>
      <c r="E21" s="2">
        <v>12751.62</v>
      </c>
      <c r="F21" s="2">
        <v>16002.97</v>
      </c>
      <c r="G21" s="2">
        <v>16740.580000000002</v>
      </c>
      <c r="H21" t="s">
        <v>1</v>
      </c>
    </row>
    <row r="22" spans="1:8" x14ac:dyDescent="0.25">
      <c r="A22" t="s">
        <v>102</v>
      </c>
      <c r="B22" t="s">
        <v>72</v>
      </c>
      <c r="C22" s="2">
        <v>3284.19</v>
      </c>
      <c r="D22">
        <v>-2526.87</v>
      </c>
      <c r="E22" s="2">
        <v>1683.4</v>
      </c>
      <c r="F22" s="2">
        <v>-716.96</v>
      </c>
      <c r="G22" s="2">
        <v>2790.59</v>
      </c>
      <c r="H22" t="s">
        <v>1</v>
      </c>
    </row>
    <row r="23" spans="1:8" x14ac:dyDescent="0.25">
      <c r="B23" t="s">
        <v>73</v>
      </c>
      <c r="C23" s="2">
        <v>13322.81</v>
      </c>
      <c r="D23" s="2">
        <v>9018.35</v>
      </c>
      <c r="E23" s="2">
        <v>14435.02</v>
      </c>
      <c r="F23" s="2">
        <v>15286.01</v>
      </c>
      <c r="G23" s="2">
        <v>19531.169999999998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2182.64</v>
      </c>
      <c r="D25" s="2">
        <v>2568.02</v>
      </c>
      <c r="E25" s="2">
        <v>2198.54</v>
      </c>
      <c r="F25" s="2">
        <v>2565.27</v>
      </c>
      <c r="G25" s="2">
        <v>2785.57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3068.77</v>
      </c>
      <c r="D27">
        <v>-3454.37</v>
      </c>
      <c r="E27" s="2">
        <v>1210.3</v>
      </c>
      <c r="F27" s="2">
        <v>955.66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5266.75</v>
      </c>
      <c r="D29" s="2">
        <v>-886.35</v>
      </c>
      <c r="E29" s="2">
        <v>3530.75</v>
      </c>
      <c r="F29">
        <v>3464.25</v>
      </c>
      <c r="G29" s="2">
        <v>2785.57</v>
      </c>
      <c r="H29" t="s">
        <v>1</v>
      </c>
    </row>
    <row r="30" spans="1:8" x14ac:dyDescent="0.25">
      <c r="B30" t="s">
        <v>80</v>
      </c>
      <c r="C30" s="2">
        <v>8056.06</v>
      </c>
      <c r="D30" s="2">
        <v>9904.7000000000007</v>
      </c>
      <c r="E30" s="2">
        <v>10904.27</v>
      </c>
      <c r="F30" s="2">
        <v>11821.76</v>
      </c>
      <c r="G30" s="2">
        <v>16745.599999999999</v>
      </c>
      <c r="H30" t="s">
        <v>1</v>
      </c>
    </row>
    <row r="31" spans="1:8" x14ac:dyDescent="0.25">
      <c r="B31" t="s">
        <v>81</v>
      </c>
      <c r="C31" s="2">
        <v>8056.06</v>
      </c>
      <c r="D31" s="2">
        <v>9904.7000000000007</v>
      </c>
      <c r="E31" s="2">
        <v>10904.27</v>
      </c>
      <c r="F31" s="2">
        <v>11821.76</v>
      </c>
      <c r="G31" s="2">
        <v>16745.599999999999</v>
      </c>
      <c r="H31" t="s">
        <v>1</v>
      </c>
    </row>
    <row r="32" spans="1:8" x14ac:dyDescent="0.25">
      <c r="B32" t="s">
        <v>82</v>
      </c>
      <c r="C32" s="2">
        <v>8056.06</v>
      </c>
      <c r="D32" s="2">
        <v>9904.7000000000007</v>
      </c>
      <c r="E32" s="2">
        <v>10904.27</v>
      </c>
      <c r="F32" s="2">
        <v>11821.76</v>
      </c>
      <c r="G32" s="2">
        <v>16745.599999999999</v>
      </c>
      <c r="H32" t="s">
        <v>1</v>
      </c>
    </row>
    <row r="33" spans="1:8" x14ac:dyDescent="0.25">
      <c r="B33" t="s">
        <v>10</v>
      </c>
      <c r="C33">
        <v>0</v>
      </c>
      <c r="D33">
        <v>0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8204</v>
      </c>
      <c r="D34" s="2">
        <v>10033.52</v>
      </c>
      <c r="E34" s="2">
        <v>11059.4</v>
      </c>
      <c r="F34" s="2">
        <v>12036.46</v>
      </c>
      <c r="G34" s="2">
        <v>16824.07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16</v>
      </c>
      <c r="D37">
        <v>19</v>
      </c>
      <c r="E37">
        <v>21</v>
      </c>
      <c r="F37">
        <v>23</v>
      </c>
      <c r="G37">
        <v>24</v>
      </c>
      <c r="H37" t="s">
        <v>1</v>
      </c>
    </row>
    <row r="38" spans="1:8" x14ac:dyDescent="0.25">
      <c r="B38" t="s">
        <v>86</v>
      </c>
      <c r="C38">
        <v>16</v>
      </c>
      <c r="D38">
        <v>19</v>
      </c>
      <c r="E38">
        <v>21</v>
      </c>
      <c r="F38">
        <v>23</v>
      </c>
      <c r="G38">
        <v>24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3034.33</v>
      </c>
      <c r="D40" s="2">
        <v>4514.87</v>
      </c>
      <c r="E40" s="2">
        <v>3118.02</v>
      </c>
      <c r="F40" s="2">
        <v>6821.99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625.45000000000005</v>
      </c>
      <c r="D41">
        <v>940.5</v>
      </c>
      <c r="E41">
        <v>637.94000000000005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3B1E2-6CA9-446E-9167-5E85C74AE76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17314.099999999999</v>
      </c>
      <c r="D6" s="16">
        <f>'Income Statement'!D19</f>
        <v>20053.839999999993</v>
      </c>
      <c r="E6" s="16">
        <f>'Income Statement'!E19</f>
        <v>21317.209999999992</v>
      </c>
      <c r="F6" s="16">
        <f>'Income Statement'!F19</f>
        <v>23798.699999999997</v>
      </c>
      <c r="G6" s="16">
        <f>'Income Statement'!G19</f>
        <v>24776.799999999992</v>
      </c>
    </row>
    <row r="7" spans="2:7" ht="18.75" x14ac:dyDescent="0.25">
      <c r="B7" s="15" t="str">
        <f>'Income Statement'!B20</f>
        <v>Finance Costs</v>
      </c>
      <c r="C7" s="16">
        <f>'Income Statement'!C20</f>
        <v>7324.14</v>
      </c>
      <c r="D7" s="16">
        <f>'Income Statement'!D20</f>
        <v>8736.57</v>
      </c>
      <c r="E7" s="16">
        <f>'Income Statement'!E20</f>
        <v>9509</v>
      </c>
      <c r="F7" s="16">
        <f>'Income Statement'!F20</f>
        <v>8134.69</v>
      </c>
      <c r="G7" s="16">
        <f>'Income Statement'!G20</f>
        <v>8036.22</v>
      </c>
    </row>
    <row r="8" spans="2:7" ht="18.75" x14ac:dyDescent="0.25">
      <c r="B8" s="17" t="s">
        <v>173</v>
      </c>
      <c r="C8" s="17">
        <f>ROUND(C6/C7, 2)</f>
        <v>2.36</v>
      </c>
      <c r="D8" s="17">
        <f t="shared" ref="D8:G8" si="0">ROUND(D6/D7, 2)</f>
        <v>2.2999999999999998</v>
      </c>
      <c r="E8" s="17">
        <f t="shared" si="0"/>
        <v>2.2400000000000002</v>
      </c>
      <c r="F8" s="17">
        <f t="shared" si="0"/>
        <v>2.93</v>
      </c>
      <c r="G8" s="17">
        <f t="shared" si="0"/>
        <v>3.08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E83C1-FAB8-4C90-BC4E-22473715907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'Income Statement'!B7</f>
        <v>Net Sales</v>
      </c>
      <c r="C7" s="16">
        <f>'Income Statement'!C7</f>
        <v>29904.959999999999</v>
      </c>
      <c r="D7" s="16">
        <f>'Income Statement'!D7</f>
        <v>34831.17</v>
      </c>
      <c r="E7" s="16">
        <f>'Income Statement'!E7</f>
        <v>36800.129999999997</v>
      </c>
      <c r="F7" s="16">
        <f>'Income Statement'!F7</f>
        <v>39300.83</v>
      </c>
      <c r="G7" s="16">
        <f>'Income Statement'!G7</f>
        <v>41616.339999999997</v>
      </c>
    </row>
    <row r="8" spans="2:7" ht="18.75" x14ac:dyDescent="0.25">
      <c r="B8" s="17" t="s">
        <v>175</v>
      </c>
      <c r="C8" s="17">
        <f>ROUND(C6/C7, 2)</f>
        <v>0</v>
      </c>
      <c r="D8" s="17">
        <f t="shared" ref="D8:G8" si="0">ROUND(D6/D7,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D09FB-D90A-480E-AE5B-5C67389984D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2189.02</v>
      </c>
      <c r="D6" s="16">
        <f>'Balance Sheet'!D38</f>
        <v>14679.170000000002</v>
      </c>
      <c r="E6" s="16">
        <f>'Balance Sheet'!E38</f>
        <v>28016.879999999954</v>
      </c>
      <c r="F6" s="16">
        <f>'Balance Sheet'!F38</f>
        <v>39280.889999999985</v>
      </c>
      <c r="G6" s="16">
        <f>'Balance Sheet'!G38</f>
        <v>63862.429999999964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0</v>
      </c>
      <c r="D7" s="16">
        <f>'Income Statement'!D11</f>
        <v>0</v>
      </c>
      <c r="E7" s="16">
        <f>'Income Statement'!E11</f>
        <v>0</v>
      </c>
      <c r="F7" s="16">
        <f>'Income Statement'!F11</f>
        <v>0</v>
      </c>
      <c r="G7" s="16">
        <f>'Income Statement'!G11</f>
        <v>0</v>
      </c>
    </row>
    <row r="8" spans="2:7" ht="18.75" x14ac:dyDescent="0.25">
      <c r="B8" s="17" t="s">
        <v>177</v>
      </c>
      <c r="C8" s="17" t="e">
        <f>ROUND(C6/C7*365, 2)</f>
        <v>#DIV/0!</v>
      </c>
      <c r="D8" s="17" t="e">
        <f t="shared" ref="D8:G8" si="0">ROUND(D6/D7*365, 2)</f>
        <v>#DIV/0!</v>
      </c>
      <c r="E8" s="17" t="e">
        <f t="shared" si="0"/>
        <v>#DIV/0!</v>
      </c>
      <c r="F8" s="17" t="e">
        <f t="shared" si="0"/>
        <v>#DIV/0!</v>
      </c>
      <c r="G8" s="17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F8ED7-86B4-4891-BFBC-5ECADC9A7F1A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7" width="14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2189.02</v>
      </c>
      <c r="D6" s="16">
        <f>'Balance Sheet'!D38</f>
        <v>14679.170000000002</v>
      </c>
      <c r="E6" s="16">
        <f>'Balance Sheet'!E38</f>
        <v>28016.879999999954</v>
      </c>
      <c r="F6" s="16">
        <f>'Balance Sheet'!F38</f>
        <v>39280.889999999985</v>
      </c>
      <c r="G6" s="16">
        <f>'Balance Sheet'!G38</f>
        <v>63862.429999999964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2189.02</v>
      </c>
      <c r="D8" s="17">
        <f t="shared" ref="D8:G8" si="0">ROUND(D6/D7*365, 2)</f>
        <v>14679.17</v>
      </c>
      <c r="E8" s="17">
        <f t="shared" si="0"/>
        <v>28016.880000000001</v>
      </c>
      <c r="F8" s="17">
        <f t="shared" si="0"/>
        <v>39280.89</v>
      </c>
      <c r="G8" s="17">
        <f t="shared" si="0"/>
        <v>63862.43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6A5EC-2789-4D8F-AF04-6634FD4FD8F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'Balance Sheet'!B40</f>
        <v>Total Assets</v>
      </c>
      <c r="C7" s="16">
        <f>'Balance Sheet'!C40</f>
        <v>225316.05</v>
      </c>
      <c r="D7" s="16">
        <f>'Balance Sheet'!D40</f>
        <v>246916.57</v>
      </c>
      <c r="E7" s="16">
        <f>'Balance Sheet'!E40</f>
        <v>256810.13999999996</v>
      </c>
      <c r="F7" s="16">
        <f>'Balance Sheet'!F40</f>
        <v>255326.12999999998</v>
      </c>
      <c r="G7" s="16">
        <f>'Balance Sheet'!G40</f>
        <v>262698.83999999997</v>
      </c>
    </row>
    <row r="8" spans="2:7" ht="18.75" x14ac:dyDescent="0.25">
      <c r="B8" s="17" t="s">
        <v>182</v>
      </c>
      <c r="C8" s="17">
        <f>ROUND(C6/C7, 2)</f>
        <v>0.13</v>
      </c>
      <c r="D8" s="17">
        <f t="shared" ref="D8:G8" si="0">ROUND(D6/D7, 2)</f>
        <v>0.14000000000000001</v>
      </c>
      <c r="E8" s="17">
        <f t="shared" si="0"/>
        <v>0.14000000000000001</v>
      </c>
      <c r="F8" s="17">
        <f t="shared" si="0"/>
        <v>0.15</v>
      </c>
      <c r="G8" s="17">
        <f t="shared" si="0"/>
        <v>0.16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25B3D-012C-4049-95E0-1376B8C2054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'Balance Sheet'!B36</f>
        <v>Inventories</v>
      </c>
      <c r="C7" s="16">
        <f>'Balance Sheet'!C36</f>
        <v>1049.3499999999999</v>
      </c>
      <c r="D7" s="16">
        <f>'Balance Sheet'!D36</f>
        <v>1247.25</v>
      </c>
      <c r="E7" s="16">
        <f>'Balance Sheet'!E36</f>
        <v>1433.46</v>
      </c>
      <c r="F7" s="16">
        <f>'Balance Sheet'!F36</f>
        <v>1366.94</v>
      </c>
      <c r="G7" s="16">
        <f>'Balance Sheet'!G36</f>
        <v>1357.17</v>
      </c>
    </row>
    <row r="8" spans="2:7" ht="18.75" x14ac:dyDescent="0.25">
      <c r="B8" s="17" t="s">
        <v>184</v>
      </c>
      <c r="C8" s="17">
        <f>ROUND(C6/C7, 2)</f>
        <v>28.5</v>
      </c>
      <c r="D8" s="17">
        <f t="shared" ref="D8:G8" si="0">ROUND(D6/D7, 2)</f>
        <v>27.93</v>
      </c>
      <c r="E8" s="17">
        <f t="shared" si="0"/>
        <v>25.67</v>
      </c>
      <c r="F8" s="17">
        <f t="shared" si="0"/>
        <v>28.75</v>
      </c>
      <c r="G8" s="17">
        <f t="shared" si="0"/>
        <v>30.66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BBEE6-3411-4989-A607-9F311CFDEE3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'Balance Sheet'!B37</f>
        <v>Trade Receivables</v>
      </c>
      <c r="C7" s="16">
        <f>'Balance Sheet'!C37</f>
        <v>3640.02</v>
      </c>
      <c r="D7" s="16">
        <f>'Balance Sheet'!D37</f>
        <v>4728.1000000000004</v>
      </c>
      <c r="E7" s="16">
        <f>'Balance Sheet'!E37</f>
        <v>5040.71</v>
      </c>
      <c r="F7" s="16">
        <f>'Balance Sheet'!F37</f>
        <v>3675.53</v>
      </c>
      <c r="G7" s="16">
        <f>'Balance Sheet'!G37</f>
        <v>9475.07</v>
      </c>
    </row>
    <row r="8" spans="2:7" ht="18.75" x14ac:dyDescent="0.25">
      <c r="B8" s="17" t="s">
        <v>186</v>
      </c>
      <c r="C8" s="17">
        <f>ROUND(C6/C7, 2)</f>
        <v>8.2200000000000006</v>
      </c>
      <c r="D8" s="17">
        <f t="shared" ref="D8:G8" si="0">ROUND(D6/D7, 2)</f>
        <v>7.37</v>
      </c>
      <c r="E8" s="17">
        <f t="shared" si="0"/>
        <v>7.3</v>
      </c>
      <c r="F8" s="17">
        <f t="shared" si="0"/>
        <v>10.69</v>
      </c>
      <c r="G8" s="17">
        <f t="shared" si="0"/>
        <v>4.3899999999999997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423E5E-2D71-4E86-9838-8912661B27FA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'Balance Sheet'!B23</f>
        <v>Tangible Assets</v>
      </c>
      <c r="C7" s="16">
        <f>'Balance Sheet'!C23</f>
        <v>154831.41</v>
      </c>
      <c r="D7" s="16">
        <f>'Balance Sheet'!D23</f>
        <v>171058.02</v>
      </c>
      <c r="E7" s="16">
        <f>'Balance Sheet'!E23</f>
        <v>179449.85</v>
      </c>
      <c r="F7" s="16">
        <f>'Balance Sheet'!F23</f>
        <v>182109.02</v>
      </c>
      <c r="G7" s="16">
        <f>'Balance Sheet'!G23</f>
        <v>204626.44</v>
      </c>
    </row>
    <row r="8" spans="2:7" ht="18.75" x14ac:dyDescent="0.25">
      <c r="B8" s="17" t="s">
        <v>188</v>
      </c>
      <c r="C8" s="17">
        <f>ROUND(C6/C7, 2)</f>
        <v>0.19</v>
      </c>
      <c r="D8" s="17">
        <f t="shared" ref="D8:G8" si="0">ROUND(D6/D7, 2)</f>
        <v>0.2</v>
      </c>
      <c r="E8" s="17">
        <f t="shared" si="0"/>
        <v>0.21</v>
      </c>
      <c r="F8" s="17">
        <f t="shared" si="0"/>
        <v>0.22</v>
      </c>
      <c r="G8" s="17">
        <f t="shared" si="0"/>
        <v>0.2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6473A-FE35-42A7-8283-17B545B00FEB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'Balance Sheet'!B19</f>
        <v>Total Current Liabilities</v>
      </c>
      <c r="C7" s="16">
        <f>'Balance Sheet'!C19</f>
        <v>33706.89</v>
      </c>
      <c r="D7" s="16">
        <f>'Balance Sheet'!D19</f>
        <v>42621.210000000006</v>
      </c>
      <c r="E7" s="16">
        <f>'Balance Sheet'!E19</f>
        <v>42307.979999999996</v>
      </c>
      <c r="F7" s="16">
        <f>'Balance Sheet'!F19</f>
        <v>43001.64</v>
      </c>
      <c r="G7" s="16">
        <f>'Balance Sheet'!G19</f>
        <v>28674.050000000003</v>
      </c>
    </row>
    <row r="8" spans="2:7" ht="18.75" x14ac:dyDescent="0.25">
      <c r="B8" s="17" t="s">
        <v>190</v>
      </c>
      <c r="C8" s="17">
        <f>ROUND(C6/C7, 2)</f>
        <v>0</v>
      </c>
      <c r="D8" s="17">
        <f t="shared" ref="D8:G8" si="0">ROUND(D6/D7,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813EF-8BAE-4BA9-B3E3-F4C449297A4D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'Balance Sheet'!B36</f>
        <v>Inventories</v>
      </c>
      <c r="C7" s="16">
        <f>'Balance Sheet'!C36</f>
        <v>1049.3499999999999</v>
      </c>
      <c r="D7" s="16">
        <f>'Balance Sheet'!D36</f>
        <v>1247.25</v>
      </c>
      <c r="E7" s="16">
        <f>'Balance Sheet'!E36</f>
        <v>1433.46</v>
      </c>
      <c r="F7" s="16">
        <f>'Balance Sheet'!F36</f>
        <v>1366.94</v>
      </c>
      <c r="G7" s="16">
        <f>'Balance Sheet'!G36</f>
        <v>1357.17</v>
      </c>
    </row>
    <row r="8" spans="2:7" ht="18.75" x14ac:dyDescent="0.25">
      <c r="B8" s="17" t="s">
        <v>192</v>
      </c>
      <c r="C8" s="17">
        <f>ROUND(365/C6*C7, 2)</f>
        <v>12.81</v>
      </c>
      <c r="D8" s="17">
        <f t="shared" ref="D8:G8" si="0">ROUND(365/D6*D7, 2)</f>
        <v>13.07</v>
      </c>
      <c r="E8" s="17">
        <f t="shared" si="0"/>
        <v>14.22</v>
      </c>
      <c r="F8" s="17">
        <f t="shared" si="0"/>
        <v>12.7</v>
      </c>
      <c r="G8" s="17">
        <f t="shared" si="0"/>
        <v>11.9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9D476D-93BB-4550-A542-B9D19F7C3FEB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3" width="15.42578125" bestFit="1" customWidth="1"/>
    <col min="4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29904.959999999999</v>
      </c>
      <c r="D5" s="5">
        <v>34831.17</v>
      </c>
      <c r="E5" s="5">
        <v>36800.129999999997</v>
      </c>
      <c r="F5" s="5">
        <v>39300.83</v>
      </c>
      <c r="G5" s="5">
        <v>41616.339999999997</v>
      </c>
    </row>
    <row r="6" spans="2:7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29904.959999999999</v>
      </c>
      <c r="D7" s="7">
        <f t="shared" ref="D7:G7" si="0">D5 - D6</f>
        <v>34831.17</v>
      </c>
      <c r="E7" s="7">
        <f t="shared" si="0"/>
        <v>36800.129999999997</v>
      </c>
      <c r="F7" s="7">
        <f t="shared" si="0"/>
        <v>39300.83</v>
      </c>
      <c r="G7" s="7">
        <f t="shared" si="0"/>
        <v>41616.339999999997</v>
      </c>
    </row>
    <row r="8" spans="2:7" ht="18.75" x14ac:dyDescent="0.25">
      <c r="B8" s="8" t="s">
        <v>59</v>
      </c>
      <c r="C8" s="5">
        <v>476.92</v>
      </c>
      <c r="D8" s="5">
        <v>602.20000000000005</v>
      </c>
      <c r="E8" s="4">
        <v>927.42</v>
      </c>
      <c r="F8" s="4">
        <v>1183.74</v>
      </c>
      <c r="G8" s="4">
        <v>1081.56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30381.879999999997</v>
      </c>
      <c r="D10" s="7">
        <f t="shared" ref="D10:G10" si="1">SUM(D7:D9)</f>
        <v>35433.369999999995</v>
      </c>
      <c r="E10" s="7">
        <f t="shared" si="1"/>
        <v>37727.549999999996</v>
      </c>
      <c r="F10" s="7">
        <f t="shared" si="1"/>
        <v>40484.57</v>
      </c>
      <c r="G10" s="7">
        <f t="shared" si="1"/>
        <v>42697.899999999994</v>
      </c>
    </row>
    <row r="11" spans="2:7" ht="18.75" x14ac:dyDescent="0.25">
      <c r="B11" s="8" t="s">
        <v>62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7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7" ht="18.75" x14ac:dyDescent="0.25">
      <c r="B13" s="8" t="s">
        <v>66</v>
      </c>
      <c r="C13" s="5">
        <v>1599.09</v>
      </c>
      <c r="D13" s="5">
        <v>1783.57</v>
      </c>
      <c r="E13" s="5">
        <v>1959.75</v>
      </c>
      <c r="F13" s="5">
        <v>2114.7600000000002</v>
      </c>
      <c r="G13" s="5">
        <v>2243.89</v>
      </c>
    </row>
    <row r="14" spans="2:7" ht="18.75" x14ac:dyDescent="0.25">
      <c r="B14" s="8" t="s">
        <v>69</v>
      </c>
      <c r="C14" s="5">
        <v>2237.6999999999998</v>
      </c>
      <c r="D14" s="5">
        <v>3055.01</v>
      </c>
      <c r="E14" s="5">
        <v>2843.55</v>
      </c>
      <c r="F14" s="5">
        <v>2531.92</v>
      </c>
      <c r="G14" s="5">
        <v>2805.55</v>
      </c>
    </row>
    <row r="15" spans="2:7" ht="18.75" x14ac:dyDescent="0.25">
      <c r="B15" s="9" t="s">
        <v>108</v>
      </c>
      <c r="C15" s="7">
        <f>C11+C12+C13+C14</f>
        <v>3836.79</v>
      </c>
      <c r="D15" s="7">
        <f t="shared" ref="D15:G15" si="2">D11+D12+D13+D14</f>
        <v>4838.58</v>
      </c>
      <c r="E15" s="7">
        <f t="shared" si="2"/>
        <v>4803.3</v>
      </c>
      <c r="F15" s="7">
        <f t="shared" si="2"/>
        <v>4646.68</v>
      </c>
      <c r="G15" s="7">
        <f t="shared" si="2"/>
        <v>5049.4400000000005</v>
      </c>
    </row>
    <row r="16" spans="2:7" ht="18.75" x14ac:dyDescent="0.25">
      <c r="B16" s="9" t="s">
        <v>109</v>
      </c>
      <c r="C16" s="7">
        <f xml:space="preserve"> C10-C15-C8</f>
        <v>26068.17</v>
      </c>
      <c r="D16" s="7">
        <f t="shared" ref="D16:G16" si="3" xml:space="preserve"> D10-D15-D8</f>
        <v>29992.589999999993</v>
      </c>
      <c r="E16" s="7">
        <f t="shared" si="3"/>
        <v>31996.829999999994</v>
      </c>
      <c r="F16" s="7">
        <f t="shared" si="3"/>
        <v>34654.15</v>
      </c>
      <c r="G16" s="7">
        <f t="shared" si="3"/>
        <v>36566.899999999994</v>
      </c>
    </row>
    <row r="17" spans="2:7" ht="18.75" x14ac:dyDescent="0.25">
      <c r="B17" s="9" t="s">
        <v>110</v>
      </c>
      <c r="C17" s="7">
        <f xml:space="preserve"> C16+C8</f>
        <v>26545.089999999997</v>
      </c>
      <c r="D17" s="7">
        <f t="shared" ref="D17:G17" si="4" xml:space="preserve"> D16+D8</f>
        <v>30594.789999999994</v>
      </c>
      <c r="E17" s="7">
        <f t="shared" si="4"/>
        <v>32924.249999999993</v>
      </c>
      <c r="F17" s="7">
        <f t="shared" si="4"/>
        <v>35837.89</v>
      </c>
      <c r="G17" s="7">
        <f t="shared" si="4"/>
        <v>37648.459999999992</v>
      </c>
    </row>
    <row r="18" spans="2:7" ht="18.75" x14ac:dyDescent="0.25">
      <c r="B18" s="8" t="s">
        <v>68</v>
      </c>
      <c r="C18" s="5">
        <v>9230.99</v>
      </c>
      <c r="D18" s="5">
        <v>10540.95</v>
      </c>
      <c r="E18" s="5">
        <v>11607.04</v>
      </c>
      <c r="F18" s="5">
        <v>12039.19</v>
      </c>
      <c r="G18" s="5">
        <v>12871.66</v>
      </c>
    </row>
    <row r="19" spans="2:7" ht="18.75" x14ac:dyDescent="0.25">
      <c r="B19" s="9" t="s">
        <v>111</v>
      </c>
      <c r="C19" s="7">
        <f xml:space="preserve"> C17-C18</f>
        <v>17314.099999999999</v>
      </c>
      <c r="D19" s="7">
        <f t="shared" ref="D19:G19" si="5" xml:space="preserve"> D17-D18</f>
        <v>20053.839999999993</v>
      </c>
      <c r="E19" s="7">
        <f t="shared" si="5"/>
        <v>21317.209999999992</v>
      </c>
      <c r="F19" s="7">
        <f t="shared" si="5"/>
        <v>23798.699999999997</v>
      </c>
      <c r="G19" s="7">
        <f t="shared" si="5"/>
        <v>24776.799999999992</v>
      </c>
    </row>
    <row r="20" spans="2:7" ht="18.75" x14ac:dyDescent="0.25">
      <c r="B20" s="8" t="s">
        <v>67</v>
      </c>
      <c r="C20" s="5">
        <v>7324.14</v>
      </c>
      <c r="D20" s="5">
        <v>8736.57</v>
      </c>
      <c r="E20" s="5">
        <v>9509</v>
      </c>
      <c r="F20" s="5">
        <v>8134.69</v>
      </c>
      <c r="G20" s="5">
        <v>8036.22</v>
      </c>
    </row>
    <row r="21" spans="2:7" ht="18.75" x14ac:dyDescent="0.25">
      <c r="B21" s="9" t="s">
        <v>112</v>
      </c>
      <c r="C21" s="7">
        <f xml:space="preserve"> C19-C20</f>
        <v>9989.9599999999991</v>
      </c>
      <c r="D21" s="7">
        <f t="shared" ref="D21:G21" si="6" xml:space="preserve"> D19-D20</f>
        <v>11317.269999999993</v>
      </c>
      <c r="E21" s="7">
        <f t="shared" si="6"/>
        <v>11808.209999999992</v>
      </c>
      <c r="F21" s="7">
        <f t="shared" si="6"/>
        <v>15664.009999999998</v>
      </c>
      <c r="G21" s="7">
        <f t="shared" si="6"/>
        <v>16740.579999999991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9989.9599999999991</v>
      </c>
      <c r="D23" s="7">
        <f t="shared" ref="D23:G23" si="7" xml:space="preserve"> D21+D22</f>
        <v>11317.269999999993</v>
      </c>
      <c r="E23" s="7">
        <f t="shared" si="7"/>
        <v>11808.209999999992</v>
      </c>
      <c r="F23" s="7">
        <f t="shared" si="7"/>
        <v>15664.009999999998</v>
      </c>
      <c r="G23" s="7">
        <f t="shared" si="7"/>
        <v>16740.579999999991</v>
      </c>
    </row>
    <row r="24" spans="2:7" ht="18.75" x14ac:dyDescent="0.25">
      <c r="B24" s="8" t="s">
        <v>72</v>
      </c>
      <c r="C24" s="5">
        <v>3284.19</v>
      </c>
      <c r="D24" s="4">
        <v>-2526.87</v>
      </c>
      <c r="E24" s="5">
        <v>1683.4</v>
      </c>
      <c r="F24" s="5">
        <v>-716.96</v>
      </c>
      <c r="G24" s="5">
        <v>2790.59</v>
      </c>
    </row>
    <row r="25" spans="2:7" ht="18.75" x14ac:dyDescent="0.25">
      <c r="B25" s="9" t="s">
        <v>115</v>
      </c>
      <c r="C25" s="7">
        <f xml:space="preserve"> C23+C24</f>
        <v>13274.15</v>
      </c>
      <c r="D25" s="7">
        <f t="shared" ref="D25:G25" si="8" xml:space="preserve"> D23+D24</f>
        <v>8790.3999999999942</v>
      </c>
      <c r="E25" s="7">
        <f t="shared" si="8"/>
        <v>13491.609999999991</v>
      </c>
      <c r="F25" s="7">
        <f t="shared" si="8"/>
        <v>14947.05</v>
      </c>
      <c r="G25" s="7">
        <f t="shared" si="8"/>
        <v>19531.169999999991</v>
      </c>
    </row>
    <row r="26" spans="2:7" ht="18.75" x14ac:dyDescent="0.25">
      <c r="B26" s="8" t="s">
        <v>79</v>
      </c>
      <c r="C26" s="5">
        <v>5266.75</v>
      </c>
      <c r="D26" s="5">
        <v>-886.35</v>
      </c>
      <c r="E26" s="5">
        <v>3530.75</v>
      </c>
      <c r="F26" s="4">
        <v>3464.25</v>
      </c>
      <c r="G26" s="5">
        <v>2785.57</v>
      </c>
    </row>
    <row r="27" spans="2:7" ht="18.75" x14ac:dyDescent="0.25">
      <c r="B27" s="9" t="s">
        <v>116</v>
      </c>
      <c r="C27" s="7">
        <f xml:space="preserve"> C25-C26</f>
        <v>8007.4</v>
      </c>
      <c r="D27" s="7">
        <f t="shared" ref="D27:G27" si="9" xml:space="preserve"> D25-D26</f>
        <v>9676.7499999999945</v>
      </c>
      <c r="E27" s="7">
        <f t="shared" si="9"/>
        <v>9960.8599999999915</v>
      </c>
      <c r="F27" s="7">
        <f t="shared" si="9"/>
        <v>11482.8</v>
      </c>
      <c r="G27" s="7">
        <f t="shared" si="9"/>
        <v>16745.599999999991</v>
      </c>
    </row>
    <row r="28" spans="2:7" ht="18.75" x14ac:dyDescent="0.25">
      <c r="B28" s="8" t="s">
        <v>88</v>
      </c>
      <c r="C28" s="4">
        <v>3034.33</v>
      </c>
      <c r="D28" s="5">
        <v>4514.87</v>
      </c>
      <c r="E28" s="5">
        <v>3118.02</v>
      </c>
      <c r="F28" s="5">
        <v>6821.99</v>
      </c>
      <c r="G28" s="5">
        <v>0</v>
      </c>
    </row>
    <row r="29" spans="2:7" ht="18.75" x14ac:dyDescent="0.25">
      <c r="B29" s="8" t="s">
        <v>89</v>
      </c>
      <c r="C29" s="4">
        <v>625.45000000000005</v>
      </c>
      <c r="D29" s="4">
        <v>940.5</v>
      </c>
      <c r="E29" s="4">
        <v>637.94000000000005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4347.62</v>
      </c>
      <c r="D30" s="7">
        <f t="shared" ref="D30:G30" si="10" xml:space="preserve"> D27-D28-D29</f>
        <v>4221.3799999999947</v>
      </c>
      <c r="E30" s="7">
        <f t="shared" si="10"/>
        <v>6204.8999999999905</v>
      </c>
      <c r="F30" s="7">
        <f t="shared" si="10"/>
        <v>4660.8099999999995</v>
      </c>
      <c r="G30" s="7">
        <f t="shared" si="10"/>
        <v>16745.599999999991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16</v>
      </c>
      <c r="D34" s="4">
        <v>19</v>
      </c>
      <c r="E34" s="4">
        <v>21</v>
      </c>
      <c r="F34" s="4">
        <v>23</v>
      </c>
      <c r="G34" s="4">
        <v>24</v>
      </c>
    </row>
    <row r="35" spans="2:7" ht="18.75" x14ac:dyDescent="0.25">
      <c r="B35" s="8" t="s">
        <v>118</v>
      </c>
      <c r="C35" s="4">
        <f>C27/C34</f>
        <v>500.46249999999998</v>
      </c>
      <c r="D35" s="4">
        <f t="shared" ref="D35:G35" si="11">D27/D34</f>
        <v>509.30263157894706</v>
      </c>
      <c r="E35" s="4">
        <f t="shared" si="11"/>
        <v>474.32666666666626</v>
      </c>
      <c r="F35" s="4">
        <f t="shared" si="11"/>
        <v>499.25217391304346</v>
      </c>
      <c r="G35" s="4">
        <f t="shared" si="11"/>
        <v>697.73333333333301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3C620-3E2E-4183-BA0A-9864F361FC9D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'Balance Sheet'!B19</f>
        <v>Total Current Liabilities</v>
      </c>
      <c r="C7" s="16">
        <f>'Balance Sheet'!C19</f>
        <v>33706.89</v>
      </c>
      <c r="D7" s="16">
        <f>'Balance Sheet'!D19</f>
        <v>42621.210000000006</v>
      </c>
      <c r="E7" s="16">
        <f>'Balance Sheet'!E19</f>
        <v>42307.979999999996</v>
      </c>
      <c r="F7" s="16">
        <f>'Balance Sheet'!F19</f>
        <v>43001.64</v>
      </c>
      <c r="G7" s="16">
        <f>'Balance Sheet'!G19</f>
        <v>28674.050000000003</v>
      </c>
    </row>
    <row r="8" spans="2:7" ht="18.75" x14ac:dyDescent="0.25">
      <c r="B8" s="17" t="s">
        <v>194</v>
      </c>
      <c r="C8" s="17" t="e">
        <f>ROUND(365/C6*C7, 2)</f>
        <v>#DIV/0!</v>
      </c>
      <c r="D8" s="17" t="e">
        <f t="shared" ref="D8:G8" si="0">ROUND(365/D6*D7, 2)</f>
        <v>#DIV/0!</v>
      </c>
      <c r="E8" s="17" t="e">
        <f t="shared" si="0"/>
        <v>#DIV/0!</v>
      </c>
      <c r="F8" s="17" t="e">
        <f t="shared" si="0"/>
        <v>#DIV/0!</v>
      </c>
      <c r="G8" s="17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B58D2-DF2F-4F54-9C17-47FC6D1159C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'Balance Sheet'!B37</f>
        <v>Trade Receivables</v>
      </c>
      <c r="C7" s="16">
        <f>'Balance Sheet'!C37</f>
        <v>3640.02</v>
      </c>
      <c r="D7" s="16">
        <f>'Balance Sheet'!D37</f>
        <v>4728.1000000000004</v>
      </c>
      <c r="E7" s="16">
        <f>'Balance Sheet'!E37</f>
        <v>5040.71</v>
      </c>
      <c r="F7" s="16">
        <f>'Balance Sheet'!F37</f>
        <v>3675.53</v>
      </c>
      <c r="G7" s="16">
        <f>'Balance Sheet'!G37</f>
        <v>9475.07</v>
      </c>
    </row>
    <row r="8" spans="2:7" ht="18.75" x14ac:dyDescent="0.25">
      <c r="B8" s="17" t="s">
        <v>196</v>
      </c>
      <c r="C8" s="17">
        <f>ROUND(365/C6*C7, 2)</f>
        <v>44.43</v>
      </c>
      <c r="D8" s="17">
        <f t="shared" ref="D8:G8" si="0">ROUND(365/D6*D7, 2)</f>
        <v>49.55</v>
      </c>
      <c r="E8" s="17">
        <f t="shared" si="0"/>
        <v>50</v>
      </c>
      <c r="F8" s="17">
        <f t="shared" si="0"/>
        <v>34.14</v>
      </c>
      <c r="G8" s="17">
        <f t="shared" si="0"/>
        <v>83.1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DCF1D-27A3-409A-8B10-1289DBC9A562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'Balance Sheet'!B36</f>
        <v>Inventories</v>
      </c>
      <c r="C7" s="16">
        <f>'Balance Sheet'!C36</f>
        <v>1049.3499999999999</v>
      </c>
      <c r="D7" s="16">
        <f>'Balance Sheet'!D36</f>
        <v>1247.25</v>
      </c>
      <c r="E7" s="16">
        <f>'Balance Sheet'!E36</f>
        <v>1433.46</v>
      </c>
      <c r="F7" s="16">
        <f>'Balance Sheet'!F36</f>
        <v>1366.94</v>
      </c>
      <c r="G7" s="16">
        <f>'Balance Sheet'!G36</f>
        <v>1357.17</v>
      </c>
    </row>
    <row r="8" spans="2:7" ht="18.75" x14ac:dyDescent="0.25">
      <c r="B8" s="15" t="s">
        <v>192</v>
      </c>
      <c r="C8" s="16">
        <f>ROUND(365/C6*C7, 2)</f>
        <v>12.81</v>
      </c>
      <c r="D8" s="16">
        <f t="shared" ref="D8:G8" si="0">ROUND(365/D6*D7, 2)</f>
        <v>13.07</v>
      </c>
      <c r="E8" s="16">
        <f t="shared" si="0"/>
        <v>14.22</v>
      </c>
      <c r="F8" s="16">
        <f t="shared" si="0"/>
        <v>12.7</v>
      </c>
      <c r="G8" s="16">
        <f t="shared" si="0"/>
        <v>11.9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0</v>
      </c>
      <c r="D9" s="16">
        <f>'Income Statement'!D11</f>
        <v>0</v>
      </c>
      <c r="E9" s="16">
        <f>'Income Statement'!E11</f>
        <v>0</v>
      </c>
      <c r="F9" s="16">
        <f>'Income Statement'!F11</f>
        <v>0</v>
      </c>
      <c r="G9" s="16">
        <f>'Income Statement'!G11</f>
        <v>0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33706.89</v>
      </c>
      <c r="D10" s="16">
        <f>'Balance Sheet'!D19</f>
        <v>42621.210000000006</v>
      </c>
      <c r="E10" s="16">
        <f>'Balance Sheet'!E19</f>
        <v>42307.979999999996</v>
      </c>
      <c r="F10" s="16">
        <f>'Balance Sheet'!F19</f>
        <v>43001.64</v>
      </c>
      <c r="G10" s="16">
        <f>'Balance Sheet'!G19</f>
        <v>28674.050000000003</v>
      </c>
    </row>
    <row r="11" spans="2:7" ht="18.75" x14ac:dyDescent="0.25">
      <c r="B11" s="15" t="s">
        <v>194</v>
      </c>
      <c r="C11" s="16" t="e">
        <f>ROUND(365/C9*C10, 2)</f>
        <v>#DIV/0!</v>
      </c>
      <c r="D11" s="16" t="e">
        <f t="shared" ref="D11:G11" si="1">ROUND(365/D9*D10, 2)</f>
        <v>#DIV/0!</v>
      </c>
      <c r="E11" s="16" t="e">
        <f t="shared" si="1"/>
        <v>#DIV/0!</v>
      </c>
      <c r="F11" s="16" t="e">
        <f t="shared" si="1"/>
        <v>#DIV/0!</v>
      </c>
      <c r="G11" s="16" t="e">
        <f t="shared" si="1"/>
        <v>#DIV/0!</v>
      </c>
    </row>
    <row r="12" spans="2:7" ht="18.75" x14ac:dyDescent="0.25">
      <c r="B12" s="17" t="s">
        <v>198</v>
      </c>
      <c r="C12" s="28" t="e">
        <f>ROUND(C11+C8, 2)</f>
        <v>#DIV/0!</v>
      </c>
      <c r="D12" s="28" t="e">
        <f t="shared" ref="D12:G12" si="2">ROUND(D11+D8, 2)</f>
        <v>#DIV/0!</v>
      </c>
      <c r="E12" s="28" t="e">
        <f t="shared" si="2"/>
        <v>#DIV/0!</v>
      </c>
      <c r="F12" s="28" t="e">
        <f t="shared" si="2"/>
        <v>#DIV/0!</v>
      </c>
      <c r="G12" s="28" t="e">
        <f t="shared" si="2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3C1AB-0F63-411F-AEE9-DF4921941C58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29904.959999999999</v>
      </c>
      <c r="D6" s="16">
        <f>'Income Statement'!D5</f>
        <v>34831.17</v>
      </c>
      <c r="E6" s="16">
        <f>'Income Statement'!E5</f>
        <v>36800.129999999997</v>
      </c>
      <c r="F6" s="16">
        <f>'Income Statement'!F5</f>
        <v>39300.83</v>
      </c>
      <c r="G6" s="16">
        <f>'Income Statement'!G5</f>
        <v>41616.339999999997</v>
      </c>
    </row>
    <row r="7" spans="2:7" ht="18.75" x14ac:dyDescent="0.25">
      <c r="B7" s="15" t="str">
        <f>'Balance Sheet'!B36</f>
        <v>Inventories</v>
      </c>
      <c r="C7" s="16">
        <f>'Balance Sheet'!C36</f>
        <v>1049.3499999999999</v>
      </c>
      <c r="D7" s="16">
        <f>'Balance Sheet'!D36</f>
        <v>1247.25</v>
      </c>
      <c r="E7" s="16">
        <f>'Balance Sheet'!E36</f>
        <v>1433.46</v>
      </c>
      <c r="F7" s="16">
        <f>'Balance Sheet'!F36</f>
        <v>1366.94</v>
      </c>
      <c r="G7" s="16">
        <f>'Balance Sheet'!G36</f>
        <v>1357.17</v>
      </c>
    </row>
    <row r="8" spans="2:7" ht="18.75" x14ac:dyDescent="0.25">
      <c r="B8" s="15" t="s">
        <v>192</v>
      </c>
      <c r="C8" s="16">
        <f>ROUND(365/C6*C7, 2)</f>
        <v>12.81</v>
      </c>
      <c r="D8" s="16">
        <f t="shared" ref="D8:G8" si="0">ROUND(365/D6*D7, 2)</f>
        <v>13.07</v>
      </c>
      <c r="E8" s="16">
        <f t="shared" si="0"/>
        <v>14.22</v>
      </c>
      <c r="F8" s="16">
        <f t="shared" si="0"/>
        <v>12.7</v>
      </c>
      <c r="G8" s="16">
        <f t="shared" si="0"/>
        <v>11.9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0</v>
      </c>
      <c r="D9" s="16">
        <f>'Income Statement'!D11</f>
        <v>0</v>
      </c>
      <c r="E9" s="16">
        <f>'Income Statement'!E11</f>
        <v>0</v>
      </c>
      <c r="F9" s="16">
        <f>'Income Statement'!F11</f>
        <v>0</v>
      </c>
      <c r="G9" s="16">
        <f>'Income Statement'!G11</f>
        <v>0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33706.89</v>
      </c>
      <c r="D10" s="16">
        <f>'Balance Sheet'!D19</f>
        <v>42621.210000000006</v>
      </c>
      <c r="E10" s="16">
        <f>'Balance Sheet'!E19</f>
        <v>42307.979999999996</v>
      </c>
      <c r="F10" s="16">
        <f>'Balance Sheet'!F19</f>
        <v>43001.64</v>
      </c>
      <c r="G10" s="16">
        <f>'Balance Sheet'!G19</f>
        <v>28674.050000000003</v>
      </c>
    </row>
    <row r="11" spans="2:7" ht="18.75" x14ac:dyDescent="0.25">
      <c r="B11" s="15" t="s">
        <v>194</v>
      </c>
      <c r="C11" s="16" t="e">
        <f>ROUND(365/C9*C10, 2)</f>
        <v>#DIV/0!</v>
      </c>
      <c r="D11" s="16" t="e">
        <f t="shared" ref="D11:G11" si="1">ROUND(365/D9*D10, 2)</f>
        <v>#DIV/0!</v>
      </c>
      <c r="E11" s="16" t="e">
        <f t="shared" si="1"/>
        <v>#DIV/0!</v>
      </c>
      <c r="F11" s="16" t="e">
        <f t="shared" si="1"/>
        <v>#DIV/0!</v>
      </c>
      <c r="G11" s="16" t="e">
        <f t="shared" si="1"/>
        <v>#DIV/0!</v>
      </c>
    </row>
    <row r="12" spans="2:7" ht="18.75" x14ac:dyDescent="0.25">
      <c r="B12" s="15" t="s">
        <v>200</v>
      </c>
      <c r="C12" s="16" t="e">
        <f>ROUND(C11+C8, 2)</f>
        <v>#DIV/0!</v>
      </c>
      <c r="D12" s="16" t="e">
        <f t="shared" ref="D12:G12" si="2">ROUND(D11+D8, 2)</f>
        <v>#DIV/0!</v>
      </c>
      <c r="E12" s="16" t="e">
        <f t="shared" si="2"/>
        <v>#DIV/0!</v>
      </c>
      <c r="F12" s="16" t="e">
        <f t="shared" si="2"/>
        <v>#DIV/0!</v>
      </c>
      <c r="G12" s="16" t="e">
        <f t="shared" si="2"/>
        <v>#DIV/0!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0</v>
      </c>
      <c r="D13" s="16">
        <f>'Income Statement'!D11</f>
        <v>0</v>
      </c>
      <c r="E13" s="16">
        <f>'Income Statement'!E11</f>
        <v>0</v>
      </c>
      <c r="F13" s="16">
        <f>'Income Statement'!F11</f>
        <v>0</v>
      </c>
      <c r="G13" s="16">
        <f>'Income Statement'!G11</f>
        <v>0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33706.89</v>
      </c>
      <c r="D14" s="16">
        <f>'Balance Sheet'!D19</f>
        <v>42621.210000000006</v>
      </c>
      <c r="E14" s="16">
        <f>'Balance Sheet'!E19</f>
        <v>42307.979999999996</v>
      </c>
      <c r="F14" s="16">
        <f>'Balance Sheet'!F19</f>
        <v>43001.64</v>
      </c>
      <c r="G14" s="16">
        <f>'Balance Sheet'!G19</f>
        <v>28674.050000000003</v>
      </c>
    </row>
    <row r="15" spans="2:7" ht="18.75" x14ac:dyDescent="0.25">
      <c r="B15" s="15" t="s">
        <v>194</v>
      </c>
      <c r="C15" s="16" t="e">
        <f>ROUND(365/C13*C14, 2)</f>
        <v>#DIV/0!</v>
      </c>
      <c r="D15" s="16" t="e">
        <f t="shared" ref="D15:G15" si="3">ROUND(365/D13*D14, 2)</f>
        <v>#DIV/0!</v>
      </c>
      <c r="E15" s="16" t="e">
        <f t="shared" si="3"/>
        <v>#DIV/0!</v>
      </c>
      <c r="F15" s="16" t="e">
        <f t="shared" si="3"/>
        <v>#DIV/0!</v>
      </c>
      <c r="G15" s="16" t="e">
        <f t="shared" si="3"/>
        <v>#DIV/0!</v>
      </c>
    </row>
    <row r="16" spans="2:7" ht="18.75" x14ac:dyDescent="0.25">
      <c r="B16" s="17" t="s">
        <v>201</v>
      </c>
      <c r="C16" s="28" t="e">
        <f>ROUND(C15-C12, 2)</f>
        <v>#DIV/0!</v>
      </c>
      <c r="D16" s="28" t="e">
        <f t="shared" ref="D16:G16" si="4">ROUND(D15-D12, 2)</f>
        <v>#DIV/0!</v>
      </c>
      <c r="E16" s="28" t="e">
        <f t="shared" si="4"/>
        <v>#DIV/0!</v>
      </c>
      <c r="F16" s="28" t="e">
        <f t="shared" si="4"/>
        <v>#DIV/0!</v>
      </c>
      <c r="G16" s="28" t="e">
        <f t="shared" si="4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3508E-DDEC-4AAA-A7C6-838FC1F34D8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54425.990000000005</v>
      </c>
      <c r="D5" s="16">
        <f>'Balance Sheet'!D9</f>
        <v>58647.369999999995</v>
      </c>
      <c r="E5" s="16">
        <f>'Balance Sheet'!E9</f>
        <v>64852.26999999999</v>
      </c>
      <c r="F5" s="16">
        <f>'Balance Sheet'!F9</f>
        <v>69513.079999999987</v>
      </c>
      <c r="G5" s="16">
        <f>'Balance Sheet'!G9</f>
        <v>88002.539999999979</v>
      </c>
    </row>
    <row r="6" spans="2:7" ht="18.75" x14ac:dyDescent="0.25">
      <c r="B6" s="15" t="str">
        <f>'Balance Sheet'!B21</f>
        <v>Total Liabilities</v>
      </c>
      <c r="C6" s="16">
        <f>'Balance Sheet'!C21</f>
        <v>225316.05000000005</v>
      </c>
      <c r="D6" s="16">
        <f>'Balance Sheet'!D21</f>
        <v>246916.57</v>
      </c>
      <c r="E6" s="16">
        <f>'Balance Sheet'!E21</f>
        <v>256810.13999999996</v>
      </c>
      <c r="F6" s="16">
        <f>'Balance Sheet'!F21</f>
        <v>255326.13</v>
      </c>
      <c r="G6" s="16">
        <f>'Balance Sheet'!G21</f>
        <v>262698.83999999997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0F6C0-52F5-46A5-BAF9-EDDF833B634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26545.089999999997</v>
      </c>
      <c r="D5" s="16">
        <f>'Income Statement'!D17</f>
        <v>30594.789999999994</v>
      </c>
      <c r="E5" s="16">
        <f>'Income Statement'!E17</f>
        <v>32924.249999999993</v>
      </c>
      <c r="F5" s="16">
        <f>'Income Statement'!F17</f>
        <v>35837.89</v>
      </c>
      <c r="G5" s="16">
        <f>'Income Statement'!G17</f>
        <v>37648.459999999992</v>
      </c>
    </row>
    <row r="6" spans="2:7" ht="18.75" x14ac:dyDescent="0.25">
      <c r="B6" s="15" t="str">
        <f>'Income Statement'!B19</f>
        <v>PBIT</v>
      </c>
      <c r="C6" s="16">
        <f>'Income Statement'!C19</f>
        <v>17314.099999999999</v>
      </c>
      <c r="D6" s="16">
        <f>'Income Statement'!D19</f>
        <v>20053.839999999993</v>
      </c>
      <c r="E6" s="16">
        <f>'Income Statement'!E19</f>
        <v>21317.209999999992</v>
      </c>
      <c r="F6" s="16">
        <f>'Income Statement'!F19</f>
        <v>23798.699999999997</v>
      </c>
      <c r="G6" s="16">
        <f>'Income Statement'!G19</f>
        <v>24776.799999999992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11F0B-8A05-4BAB-80AF-B043AEE1D57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6" width="13.140625" bestFit="1" customWidth="1"/>
    <col min="7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30225.239999999998</v>
      </c>
      <c r="D5" s="16">
        <f>'Balance Sheet'!D39</f>
        <v>46033.009999999995</v>
      </c>
      <c r="E5" s="16">
        <f>'Balance Sheet'!E39</f>
        <v>61510.509999999951</v>
      </c>
      <c r="F5" s="16">
        <f>'Balance Sheet'!F39</f>
        <v>79621.989999999991</v>
      </c>
      <c r="G5" s="16">
        <f>'Balance Sheet'!G39</f>
        <v>101343.59999999996</v>
      </c>
    </row>
    <row r="6" spans="2:7" ht="18.75" x14ac:dyDescent="0.25">
      <c r="B6" s="15" t="str">
        <f>'Balance Sheet'!B19</f>
        <v>Total Current Liabilities</v>
      </c>
      <c r="C6" s="16">
        <f>'Balance Sheet'!C19</f>
        <v>33706.89</v>
      </c>
      <c r="D6" s="16">
        <f>'Balance Sheet'!D19</f>
        <v>42621.210000000006</v>
      </c>
      <c r="E6" s="16">
        <f>'Balance Sheet'!E19</f>
        <v>42307.979999999996</v>
      </c>
      <c r="F6" s="16">
        <f>'Balance Sheet'!F19</f>
        <v>43001.64</v>
      </c>
      <c r="G6" s="16">
        <f>'Balance Sheet'!G19</f>
        <v>28674.050000000003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78ED2-4668-48DA-A8B7-BA081152CAE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3" width="11.5703125" bestFit="1" customWidth="1"/>
    <col min="4" max="6" width="10" bestFit="1" customWidth="1"/>
    <col min="7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716.87</v>
      </c>
      <c r="D5" s="16">
        <f>'Balance Sheet'!D14</f>
        <v>368.15</v>
      </c>
      <c r="E5" s="16">
        <f>'Balance Sheet'!E14</f>
        <v>424.71</v>
      </c>
      <c r="F5" s="16">
        <f>'Balance Sheet'!F14</f>
        <v>462.02</v>
      </c>
      <c r="G5" s="16">
        <f>'Balance Sheet'!G14</f>
        <v>517.14</v>
      </c>
    </row>
    <row r="6" spans="2:7" ht="18.75" x14ac:dyDescent="0.25">
      <c r="B6" s="15" t="str">
        <f>'Balance Sheet'!B15</f>
        <v>Short Term Provisions</v>
      </c>
      <c r="C6" s="16">
        <f>'Balance Sheet'!C15</f>
        <v>1059.5999999999999</v>
      </c>
      <c r="D6" s="16">
        <f>'Balance Sheet'!D15</f>
        <v>701.14</v>
      </c>
      <c r="E6" s="16">
        <f>'Balance Sheet'!E15</f>
        <v>742.04</v>
      </c>
      <c r="F6" s="16">
        <f>'Balance Sheet'!F15</f>
        <v>845.12</v>
      </c>
      <c r="G6" s="16">
        <f>'Balance Sheet'!G15</f>
        <v>1167.1199999999999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4CF73-3A11-48CE-851C-C0C078351A6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8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0</v>
      </c>
      <c r="D5" s="16">
        <f>'Income Statement'!D11</f>
        <v>0</v>
      </c>
      <c r="E5" s="16">
        <f>'Income Statement'!E11</f>
        <v>0</v>
      </c>
      <c r="F5" s="16">
        <f>'Income Statement'!F11</f>
        <v>0</v>
      </c>
      <c r="G5" s="16">
        <f>'Income Statement'!G11</f>
        <v>0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0</v>
      </c>
      <c r="E6" s="16">
        <f>'Income Statement'!E12</f>
        <v>0</v>
      </c>
      <c r="F6" s="16">
        <f>'Income Statement'!F12</f>
        <v>0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A99CC-3A9B-4336-A11D-966DA46E6E3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29904.959999999999</v>
      </c>
      <c r="D5" s="16">
        <f>'Income Statement'!D5</f>
        <v>34831.17</v>
      </c>
      <c r="E5" s="16">
        <f>'Income Statement'!E5</f>
        <v>36800.129999999997</v>
      </c>
      <c r="F5" s="16">
        <f>'Income Statement'!F5</f>
        <v>39300.83</v>
      </c>
      <c r="G5" s="16">
        <f>'Income Statement'!G5</f>
        <v>41616.339999999997</v>
      </c>
    </row>
    <row r="6" spans="2:7" ht="18.75" x14ac:dyDescent="0.25">
      <c r="B6" s="15" t="str">
        <f>'Income Statement'!B10</f>
        <v>Total Income</v>
      </c>
      <c r="C6" s="16">
        <f>'Income Statement'!C10</f>
        <v>30381.879999999997</v>
      </c>
      <c r="D6" s="16">
        <f>'Income Statement'!D10</f>
        <v>35433.369999999995</v>
      </c>
      <c r="E6" s="16">
        <f>'Income Statement'!E10</f>
        <v>37727.549999999996</v>
      </c>
      <c r="F6" s="16">
        <f>'Income Statement'!F10</f>
        <v>40484.57</v>
      </c>
      <c r="G6" s="16">
        <f>'Income Statement'!G10</f>
        <v>42697.899999999994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30C0C-1FE7-4702-A025-D4F91A9B5B94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5">
        <v>5231.59</v>
      </c>
      <c r="D5" s="5">
        <v>5231.59</v>
      </c>
      <c r="E5" s="5">
        <v>5231.59</v>
      </c>
      <c r="F5" s="5">
        <v>5231.59</v>
      </c>
      <c r="G5" s="5">
        <v>6975.45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7">
        <f>C5+C6</f>
        <v>5231.59</v>
      </c>
      <c r="D7" s="7">
        <f t="shared" ref="D7:G7" si="0">D5+D6</f>
        <v>5231.59</v>
      </c>
      <c r="E7" s="7">
        <f t="shared" si="0"/>
        <v>5231.59</v>
      </c>
      <c r="F7" s="7">
        <f t="shared" si="0"/>
        <v>5231.59</v>
      </c>
      <c r="G7" s="7">
        <f t="shared" si="0"/>
        <v>6975.45</v>
      </c>
    </row>
    <row r="8" spans="2:7" ht="18.75" x14ac:dyDescent="0.25">
      <c r="B8" s="8" t="s">
        <v>7</v>
      </c>
      <c r="C8" s="5">
        <v>49194.400000000001</v>
      </c>
      <c r="D8" s="5">
        <f>'Income Statement'!D30+C8</f>
        <v>53415.78</v>
      </c>
      <c r="E8" s="5">
        <f>'Income Statement'!E30+D8</f>
        <v>59620.679999999993</v>
      </c>
      <c r="F8" s="5">
        <f>'Income Statement'!F30+E8</f>
        <v>64281.489999999991</v>
      </c>
      <c r="G8" s="5">
        <f>'Income Statement'!G30+F8</f>
        <v>81027.089999999982</v>
      </c>
    </row>
    <row r="9" spans="2:7" ht="18.75" x14ac:dyDescent="0.25">
      <c r="B9" s="9" t="s">
        <v>122</v>
      </c>
      <c r="C9" s="7">
        <f>C7+C8</f>
        <v>54425.990000000005</v>
      </c>
      <c r="D9" s="7">
        <f t="shared" ref="D9:G9" si="1">D7+D8</f>
        <v>58647.369999999995</v>
      </c>
      <c r="E9" s="7">
        <f t="shared" si="1"/>
        <v>64852.26999999999</v>
      </c>
      <c r="F9" s="7">
        <f t="shared" si="1"/>
        <v>69513.079999999987</v>
      </c>
      <c r="G9" s="7">
        <f t="shared" si="1"/>
        <v>88002.539999999979</v>
      </c>
    </row>
    <row r="10" spans="2:7" ht="18.75" x14ac:dyDescent="0.25">
      <c r="B10" s="8" t="s">
        <v>12</v>
      </c>
      <c r="C10" s="5">
        <v>122710.32</v>
      </c>
      <c r="D10" s="5">
        <v>131329.51</v>
      </c>
      <c r="E10" s="5">
        <v>135421.10999999999</v>
      </c>
      <c r="F10" s="5">
        <v>129174.79</v>
      </c>
      <c r="G10" s="5">
        <v>114199.4</v>
      </c>
    </row>
    <row r="11" spans="2:7" ht="18.75" x14ac:dyDescent="0.25">
      <c r="B11" s="8" t="s">
        <v>13</v>
      </c>
      <c r="C11" s="5">
        <v>13472.85</v>
      </c>
      <c r="D11" s="5">
        <v>10018.48</v>
      </c>
      <c r="E11" s="5">
        <v>11228.78</v>
      </c>
      <c r="F11" s="5">
        <v>11836.62</v>
      </c>
      <c r="G11" s="5">
        <v>11356.98</v>
      </c>
    </row>
    <row r="12" spans="2:7" ht="18.75" x14ac:dyDescent="0.25">
      <c r="B12" s="8" t="s">
        <v>18</v>
      </c>
      <c r="C12" s="5">
        <v>1000</v>
      </c>
      <c r="D12" s="5">
        <v>4300</v>
      </c>
      <c r="E12" s="5">
        <v>3000</v>
      </c>
      <c r="F12" s="5">
        <v>1800</v>
      </c>
      <c r="G12" s="5">
        <v>20465.87</v>
      </c>
    </row>
    <row r="13" spans="2:7" ht="18.75" x14ac:dyDescent="0.25">
      <c r="B13" s="9" t="s">
        <v>123</v>
      </c>
      <c r="C13" s="7">
        <f>C10+C11+C12</f>
        <v>137183.17000000001</v>
      </c>
      <c r="D13" s="7">
        <f t="shared" ref="D13:G13" si="2">D10+D11+D12</f>
        <v>145647.99000000002</v>
      </c>
      <c r="E13" s="7">
        <f t="shared" si="2"/>
        <v>149649.88999999998</v>
      </c>
      <c r="F13" s="7">
        <f t="shared" si="2"/>
        <v>142811.41</v>
      </c>
      <c r="G13" s="7">
        <f t="shared" si="2"/>
        <v>146022.25</v>
      </c>
    </row>
    <row r="14" spans="2:7" ht="18.75" x14ac:dyDescent="0.25">
      <c r="B14" s="8" t="s">
        <v>15</v>
      </c>
      <c r="C14" s="4">
        <v>716.87</v>
      </c>
      <c r="D14" s="4">
        <v>368.15</v>
      </c>
      <c r="E14" s="4">
        <v>424.71</v>
      </c>
      <c r="F14" s="4">
        <v>462.02</v>
      </c>
      <c r="G14" s="4">
        <v>517.14</v>
      </c>
    </row>
    <row r="15" spans="2:7" ht="18.75" x14ac:dyDescent="0.25">
      <c r="B15" s="8" t="s">
        <v>21</v>
      </c>
      <c r="C15" s="5">
        <v>1059.5999999999999</v>
      </c>
      <c r="D15" s="4">
        <v>701.14</v>
      </c>
      <c r="E15" s="4">
        <v>742.04</v>
      </c>
      <c r="F15" s="4">
        <v>845.12</v>
      </c>
      <c r="G15" s="5">
        <v>1167.1199999999999</v>
      </c>
    </row>
    <row r="16" spans="2:7" ht="18.75" x14ac:dyDescent="0.25">
      <c r="B16" s="8" t="s">
        <v>14</v>
      </c>
      <c r="C16" s="5">
        <v>916.76</v>
      </c>
      <c r="D16" s="5">
        <v>4481.1000000000004</v>
      </c>
      <c r="E16" s="5">
        <v>3885.67</v>
      </c>
      <c r="F16" s="5">
        <v>3972.24</v>
      </c>
      <c r="G16" s="4">
        <v>13308.01</v>
      </c>
    </row>
    <row r="17" spans="2:7" ht="18.75" x14ac:dyDescent="0.25">
      <c r="B17" s="8" t="s">
        <v>19</v>
      </c>
      <c r="C17" s="4">
        <v>240.44</v>
      </c>
      <c r="D17" s="4">
        <v>365.13</v>
      </c>
      <c r="E17" s="4">
        <v>226.54</v>
      </c>
      <c r="F17" s="4">
        <v>187.48</v>
      </c>
      <c r="G17" s="4">
        <v>267.10000000000002</v>
      </c>
    </row>
    <row r="18" spans="2:7" ht="18.75" x14ac:dyDescent="0.25">
      <c r="B18" s="8" t="s">
        <v>20</v>
      </c>
      <c r="C18" s="5">
        <v>30773.22</v>
      </c>
      <c r="D18" s="5">
        <v>36705.69</v>
      </c>
      <c r="E18" s="5">
        <v>37029.019999999997</v>
      </c>
      <c r="F18" s="5">
        <v>37534.78</v>
      </c>
      <c r="G18" s="5">
        <v>13414.68</v>
      </c>
    </row>
    <row r="19" spans="2:7" ht="18.75" x14ac:dyDescent="0.25">
      <c r="B19" s="9" t="s">
        <v>22</v>
      </c>
      <c r="C19" s="7">
        <f>C14+C15+C16+C17+C18</f>
        <v>33706.89</v>
      </c>
      <c r="D19" s="7">
        <f t="shared" ref="D19:G19" si="3">D14+D15+D16+D17+D18</f>
        <v>42621.210000000006</v>
      </c>
      <c r="E19" s="7">
        <f t="shared" si="3"/>
        <v>42307.979999999996</v>
      </c>
      <c r="F19" s="7">
        <f t="shared" si="3"/>
        <v>43001.64</v>
      </c>
      <c r="G19" s="7">
        <f t="shared" si="3"/>
        <v>28674.050000000003</v>
      </c>
    </row>
    <row r="20" spans="2:7" ht="18.75" x14ac:dyDescent="0.25">
      <c r="B20" s="8" t="s">
        <v>10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</row>
    <row r="21" spans="2:7" ht="18.75" x14ac:dyDescent="0.25">
      <c r="B21" s="9" t="s">
        <v>124</v>
      </c>
      <c r="C21" s="7">
        <f>C9+C13+C19+C20</f>
        <v>225316.05000000005</v>
      </c>
      <c r="D21" s="7">
        <f t="shared" ref="D21:G21" si="4">D9+D13+D19+D20</f>
        <v>246916.57</v>
      </c>
      <c r="E21" s="7">
        <f t="shared" si="4"/>
        <v>256810.13999999996</v>
      </c>
      <c r="F21" s="7">
        <f t="shared" si="4"/>
        <v>255326.13</v>
      </c>
      <c r="G21" s="7">
        <f t="shared" si="4"/>
        <v>262698.83999999997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154831.41</v>
      </c>
      <c r="D23" s="5">
        <v>171058.02</v>
      </c>
      <c r="E23" s="5">
        <v>179449.85</v>
      </c>
      <c r="F23" s="5">
        <v>182109.02</v>
      </c>
      <c r="G23" s="5">
        <v>204626.44</v>
      </c>
    </row>
    <row r="24" spans="2:7" ht="18.75" x14ac:dyDescent="0.25">
      <c r="B24" s="8" t="s">
        <v>27</v>
      </c>
      <c r="C24" s="4">
        <v>1366.86</v>
      </c>
      <c r="D24" s="5">
        <v>1681.6</v>
      </c>
      <c r="E24" s="5">
        <v>1662.28</v>
      </c>
      <c r="F24" s="5">
        <v>1616.95</v>
      </c>
      <c r="G24" s="5">
        <v>0</v>
      </c>
    </row>
    <row r="25" spans="2:7" ht="18.75" x14ac:dyDescent="0.25">
      <c r="B25" s="8" t="s">
        <v>125</v>
      </c>
      <c r="C25" s="4"/>
      <c r="D25" s="5">
        <f>'Income Statement'!D18</f>
        <v>10540.95</v>
      </c>
      <c r="E25" s="5">
        <f>'Income Statement'!E18+D25</f>
        <v>22147.99</v>
      </c>
      <c r="F25" s="5">
        <f>'Income Statement'!F18+E25</f>
        <v>34187.18</v>
      </c>
      <c r="G25" s="5">
        <f>'Income Statement'!G18+F25</f>
        <v>47058.84</v>
      </c>
    </row>
    <row r="26" spans="2:7" ht="18.75" x14ac:dyDescent="0.25">
      <c r="B26" s="9" t="s">
        <v>126</v>
      </c>
      <c r="C26" s="7">
        <f>C23+C24-C25</f>
        <v>156198.26999999999</v>
      </c>
      <c r="D26" s="7">
        <f t="shared" ref="D26:G26" si="5">D23+D24-D25</f>
        <v>162198.66999999998</v>
      </c>
      <c r="E26" s="7">
        <f t="shared" si="5"/>
        <v>158964.14000000001</v>
      </c>
      <c r="F26" s="7">
        <f t="shared" si="5"/>
        <v>149538.79</v>
      </c>
      <c r="G26" s="7">
        <f t="shared" si="5"/>
        <v>157567.6</v>
      </c>
    </row>
    <row r="27" spans="2:7" ht="18.75" x14ac:dyDescent="0.25">
      <c r="B27" s="8" t="s">
        <v>30</v>
      </c>
      <c r="C27" s="5">
        <v>1223.97</v>
      </c>
      <c r="D27" s="5">
        <v>1296.42</v>
      </c>
      <c r="E27" s="5">
        <v>1431.08</v>
      </c>
      <c r="F27" s="5">
        <v>1485.55</v>
      </c>
      <c r="G27" s="5">
        <v>3787.64</v>
      </c>
    </row>
    <row r="28" spans="2:7" ht="18.75" x14ac:dyDescent="0.25">
      <c r="B28" s="8" t="s">
        <v>36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</row>
    <row r="29" spans="2:7" ht="18.75" x14ac:dyDescent="0.25">
      <c r="B29" s="8" t="s">
        <v>28</v>
      </c>
      <c r="C29" s="4">
        <v>37668.57</v>
      </c>
      <c r="D29" s="5">
        <v>37388.47</v>
      </c>
      <c r="E29" s="5">
        <v>34904.410000000003</v>
      </c>
      <c r="F29" s="5">
        <v>24679.8</v>
      </c>
      <c r="G29" s="5">
        <v>0</v>
      </c>
    </row>
    <row r="30" spans="2:7" ht="18.75" x14ac:dyDescent="0.25">
      <c r="B30" s="9" t="s">
        <v>127</v>
      </c>
      <c r="C30" s="7">
        <f>C26+C27+C28+C29</f>
        <v>195090.81</v>
      </c>
      <c r="D30" s="7">
        <f t="shared" ref="D30:G30" si="6">D26+D27+D28+D29</f>
        <v>200883.56</v>
      </c>
      <c r="E30" s="7">
        <f t="shared" si="6"/>
        <v>195299.63</v>
      </c>
      <c r="F30" s="7">
        <f t="shared" si="6"/>
        <v>175704.13999999998</v>
      </c>
      <c r="G30" s="7">
        <f t="shared" si="6"/>
        <v>161355.24000000002</v>
      </c>
    </row>
    <row r="31" spans="2:7" ht="18.75" x14ac:dyDescent="0.25">
      <c r="B31" s="8" t="s">
        <v>31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</row>
    <row r="32" spans="2:7" ht="18.75" x14ac:dyDescent="0.25">
      <c r="B32" s="8" t="s">
        <v>32</v>
      </c>
      <c r="C32" s="4">
        <v>139.99</v>
      </c>
      <c r="D32" s="4">
        <v>188.13</v>
      </c>
      <c r="E32" s="4">
        <v>271.58</v>
      </c>
      <c r="F32" s="4">
        <v>322.58</v>
      </c>
      <c r="G32" s="4">
        <v>406.45</v>
      </c>
    </row>
    <row r="33" spans="2:7" ht="18.75" x14ac:dyDescent="0.25">
      <c r="B33" s="8" t="s">
        <v>33</v>
      </c>
      <c r="C33" s="5">
        <v>6614.03</v>
      </c>
      <c r="D33" s="5">
        <v>9757.2000000000007</v>
      </c>
      <c r="E33" s="5">
        <v>10426.030000000001</v>
      </c>
      <c r="F33" s="5">
        <v>9359.16</v>
      </c>
      <c r="G33" s="5">
        <v>9568.82</v>
      </c>
    </row>
    <row r="34" spans="2:7" ht="18.75" x14ac:dyDescent="0.25">
      <c r="B34" s="8" t="s">
        <v>40</v>
      </c>
      <c r="C34" s="4">
        <v>46.88</v>
      </c>
      <c r="D34" s="4">
        <v>130.99</v>
      </c>
      <c r="E34" s="4">
        <v>152.37</v>
      </c>
      <c r="F34" s="4">
        <v>127.05</v>
      </c>
      <c r="G34" s="4">
        <v>98.59</v>
      </c>
    </row>
    <row r="35" spans="2:7" ht="18.75" x14ac:dyDescent="0.25">
      <c r="B35" s="8" t="s">
        <v>41</v>
      </c>
      <c r="C35" s="5">
        <v>16545.95</v>
      </c>
      <c r="D35" s="5">
        <v>15302.17</v>
      </c>
      <c r="E35" s="5">
        <v>16169.48</v>
      </c>
      <c r="F35" s="5">
        <v>25489.84</v>
      </c>
      <c r="G35" s="5">
        <v>16575.07</v>
      </c>
    </row>
    <row r="36" spans="2:7" ht="18.75" x14ac:dyDescent="0.25">
      <c r="B36" s="8" t="s">
        <v>37</v>
      </c>
      <c r="C36" s="5">
        <v>1049.3499999999999</v>
      </c>
      <c r="D36" s="5">
        <v>1247.25</v>
      </c>
      <c r="E36" s="5">
        <v>1433.46</v>
      </c>
      <c r="F36" s="5">
        <v>1366.94</v>
      </c>
      <c r="G36" s="5">
        <v>1357.17</v>
      </c>
    </row>
    <row r="37" spans="2:7" ht="18.75" x14ac:dyDescent="0.25">
      <c r="B37" s="8" t="s">
        <v>38</v>
      </c>
      <c r="C37" s="5">
        <v>3640.02</v>
      </c>
      <c r="D37" s="5">
        <v>4728.1000000000004</v>
      </c>
      <c r="E37" s="5">
        <v>5040.71</v>
      </c>
      <c r="F37" s="5">
        <v>3675.53</v>
      </c>
      <c r="G37" s="5">
        <v>9475.07</v>
      </c>
    </row>
    <row r="38" spans="2:7" ht="18.75" x14ac:dyDescent="0.25">
      <c r="B38" s="8" t="s">
        <v>39</v>
      </c>
      <c r="C38" s="5">
        <v>2189.02</v>
      </c>
      <c r="D38" s="5">
        <f>'CashFlow Statement'!D48+C38</f>
        <v>14679.170000000002</v>
      </c>
      <c r="E38" s="5">
        <f>'CashFlow Statement'!E48+D38</f>
        <v>28016.879999999954</v>
      </c>
      <c r="F38" s="5">
        <f>'CashFlow Statement'!F48+E38</f>
        <v>39280.889999999985</v>
      </c>
      <c r="G38" s="5">
        <f>'CashFlow Statement'!G48+F38</f>
        <v>63862.429999999964</v>
      </c>
    </row>
    <row r="39" spans="2:7" ht="18.75" x14ac:dyDescent="0.25">
      <c r="B39" s="9" t="s">
        <v>42</v>
      </c>
      <c r="C39" s="7">
        <f>C31+C32+C33+C34+C35+C36+C37+C38</f>
        <v>30225.239999999998</v>
      </c>
      <c r="D39" s="7">
        <f t="shared" ref="D39:G39" si="7">D31+D32+D33+D34+D35+D36+D37+D38</f>
        <v>46033.009999999995</v>
      </c>
      <c r="E39" s="7">
        <f t="shared" si="7"/>
        <v>61510.509999999951</v>
      </c>
      <c r="F39" s="7">
        <f t="shared" si="7"/>
        <v>79621.989999999991</v>
      </c>
      <c r="G39" s="7">
        <f t="shared" si="7"/>
        <v>101343.59999999996</v>
      </c>
    </row>
    <row r="40" spans="2:7" ht="18.75" x14ac:dyDescent="0.25">
      <c r="B40" s="9" t="s">
        <v>43</v>
      </c>
      <c r="C40" s="7">
        <f>C30+C39</f>
        <v>225316.05</v>
      </c>
      <c r="D40" s="7">
        <f t="shared" ref="D40:G40" si="8">D30+D39</f>
        <v>246916.57</v>
      </c>
      <c r="E40" s="7">
        <f t="shared" si="8"/>
        <v>256810.13999999996</v>
      </c>
      <c r="F40" s="7">
        <f t="shared" si="8"/>
        <v>255326.12999999998</v>
      </c>
      <c r="G40" s="7">
        <f t="shared" si="8"/>
        <v>262698.83999999997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D3119-C67E-41A3-A966-5B8E5F573078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225316.05000000005</v>
      </c>
      <c r="D5" s="16">
        <f>'Balance Sheet'!D21</f>
        <v>246916.57</v>
      </c>
      <c r="E5" s="16">
        <f>'Balance Sheet'!E21</f>
        <v>256810.13999999996</v>
      </c>
      <c r="F5" s="16">
        <f>'Balance Sheet'!F21</f>
        <v>255326.13</v>
      </c>
      <c r="G5" s="16">
        <f>'Balance Sheet'!G21</f>
        <v>262698.83999999997</v>
      </c>
    </row>
    <row r="6" spans="2:7" ht="18.75" x14ac:dyDescent="0.25">
      <c r="B6" s="15" t="str">
        <f>'Balance Sheet'!B13</f>
        <v>Total Debt</v>
      </c>
      <c r="C6" s="16">
        <f>'Balance Sheet'!C13</f>
        <v>137183.17000000001</v>
      </c>
      <c r="D6" s="16">
        <f>'Balance Sheet'!D13</f>
        <v>145647.99000000002</v>
      </c>
      <c r="E6" s="16">
        <f>'Balance Sheet'!E13</f>
        <v>149649.88999999998</v>
      </c>
      <c r="F6" s="16">
        <f>'Balance Sheet'!F13</f>
        <v>142811.41</v>
      </c>
      <c r="G6" s="16">
        <f>'Balance Sheet'!G13</f>
        <v>146022.25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12FE0C-DBB4-4962-B14B-18420D8B186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225316.05000000005</v>
      </c>
      <c r="D5" s="16">
        <f>'Balance Sheet'!D21</f>
        <v>246916.57</v>
      </c>
      <c r="E5" s="16">
        <f>'Balance Sheet'!E21</f>
        <v>256810.13999999996</v>
      </c>
      <c r="F5" s="16">
        <f>'Balance Sheet'!F21</f>
        <v>255326.13</v>
      </c>
      <c r="G5" s="16">
        <f>'Balance Sheet'!G21</f>
        <v>262698.83999999997</v>
      </c>
    </row>
    <row r="6" spans="2:7" ht="18.75" x14ac:dyDescent="0.25">
      <c r="B6" s="15" t="str">
        <f>'Balance Sheet'!B19</f>
        <v>Total Current Liabilities</v>
      </c>
      <c r="C6" s="16">
        <f>'Balance Sheet'!C19</f>
        <v>33706.89</v>
      </c>
      <c r="D6" s="16">
        <f>'Balance Sheet'!D19</f>
        <v>42621.210000000006</v>
      </c>
      <c r="E6" s="16">
        <f>'Balance Sheet'!E19</f>
        <v>42307.979999999996</v>
      </c>
      <c r="F6" s="16">
        <f>'Balance Sheet'!F19</f>
        <v>43001.64</v>
      </c>
      <c r="G6" s="16">
        <f>'Balance Sheet'!G19</f>
        <v>28674.050000000003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B6878F-15A4-4FD2-A0B2-0589E55B7EB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225316.05</v>
      </c>
      <c r="D5" s="16">
        <f>'Balance Sheet'!D40</f>
        <v>246916.57</v>
      </c>
      <c r="E5" s="16">
        <f>'Balance Sheet'!E40</f>
        <v>256810.13999999996</v>
      </c>
      <c r="F5" s="16">
        <f>'Balance Sheet'!F40</f>
        <v>255326.12999999998</v>
      </c>
      <c r="G5" s="16">
        <f>'Balance Sheet'!G40</f>
        <v>262698.83999999997</v>
      </c>
    </row>
    <row r="6" spans="2:7" ht="18.75" x14ac:dyDescent="0.25">
      <c r="B6" s="15" t="str">
        <f>'Balance Sheet'!B30</f>
        <v>Total Non Current Assets</v>
      </c>
      <c r="C6" s="16">
        <f>'Balance Sheet'!C30</f>
        <v>195090.81</v>
      </c>
      <c r="D6" s="16">
        <f>'Balance Sheet'!D30</f>
        <v>200883.56</v>
      </c>
      <c r="E6" s="16">
        <f>'Balance Sheet'!E30</f>
        <v>195299.63</v>
      </c>
      <c r="F6" s="16">
        <f>'Balance Sheet'!F30</f>
        <v>175704.13999999998</v>
      </c>
      <c r="G6" s="16">
        <f>'Balance Sheet'!G30</f>
        <v>161355.24000000002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F0660-DE14-4C06-92FC-A43106BF52E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225316.05</v>
      </c>
      <c r="D5" s="16">
        <f>'Balance Sheet'!D40</f>
        <v>246916.57</v>
      </c>
      <c r="E5" s="16">
        <f>'Balance Sheet'!E40</f>
        <v>256810.13999999996</v>
      </c>
      <c r="F5" s="16">
        <f>'Balance Sheet'!F40</f>
        <v>255326.12999999998</v>
      </c>
      <c r="G5" s="16">
        <f>'Balance Sheet'!G40</f>
        <v>262698.83999999997</v>
      </c>
    </row>
    <row r="6" spans="2:7" ht="18.75" x14ac:dyDescent="0.25">
      <c r="B6" s="15" t="str">
        <f>'Balance Sheet'!B39</f>
        <v>Total Current Assets</v>
      </c>
      <c r="C6" s="16">
        <f>'Balance Sheet'!C39</f>
        <v>30225.239999999998</v>
      </c>
      <c r="D6" s="16">
        <f>'Balance Sheet'!D39</f>
        <v>46033.009999999995</v>
      </c>
      <c r="E6" s="16">
        <f>'Balance Sheet'!E39</f>
        <v>61510.509999999951</v>
      </c>
      <c r="F6" s="16">
        <f>'Balance Sheet'!F39</f>
        <v>79621.989999999991</v>
      </c>
      <c r="G6" s="16">
        <f>'Balance Sheet'!G39</f>
        <v>101343.59999999996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56008-3CBE-4731-AEF0-9F9F9503463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3836.79</v>
      </c>
      <c r="D5" s="16">
        <f>'Income Statement'!D15</f>
        <v>4838.58</v>
      </c>
      <c r="E5" s="16">
        <f>'Income Statement'!E15</f>
        <v>4803.3</v>
      </c>
      <c r="F5" s="16">
        <f>'Income Statement'!F15</f>
        <v>4646.68</v>
      </c>
      <c r="G5" s="16">
        <f>'Income Statement'!G15</f>
        <v>5049.4400000000005</v>
      </c>
    </row>
    <row r="6" spans="2:7" ht="18.75" x14ac:dyDescent="0.25">
      <c r="B6" s="15" t="str">
        <f>'Income Statement'!B10</f>
        <v>Total Income</v>
      </c>
      <c r="C6" s="16">
        <f>'Income Statement'!C10</f>
        <v>30381.879999999997</v>
      </c>
      <c r="D6" s="16">
        <f>'Income Statement'!D10</f>
        <v>35433.369999999995</v>
      </c>
      <c r="E6" s="16">
        <f>'Income Statement'!E10</f>
        <v>37727.549999999996</v>
      </c>
      <c r="F6" s="16">
        <f>'Income Statement'!F10</f>
        <v>40484.57</v>
      </c>
      <c r="G6" s="16">
        <f>'Income Statement'!G10</f>
        <v>42697.899999999994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88F456-E841-4786-B460-6A7A8E94E9FF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5" width="11.5703125" bestFit="1" customWidth="1"/>
    <col min="6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4347.62</v>
      </c>
      <c r="D5" s="16">
        <f>'Income Statement'!D30</f>
        <v>4221.3799999999947</v>
      </c>
      <c r="E5" s="16">
        <f>'Income Statement'!E30</f>
        <v>6204.8999999999905</v>
      </c>
      <c r="F5" s="16">
        <f>'Income Statement'!F30</f>
        <v>4660.8099999999995</v>
      </c>
      <c r="G5" s="16">
        <f>'Income Statement'!G30</f>
        <v>16745.599999999991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8007.4</v>
      </c>
      <c r="D6" s="16">
        <f>'Income Statement'!D27</f>
        <v>9676.7499999999945</v>
      </c>
      <c r="E6" s="16">
        <f>'Income Statement'!E27</f>
        <v>9960.8599999999915</v>
      </c>
      <c r="F6" s="16">
        <f>'Income Statement'!F27</f>
        <v>11482.8</v>
      </c>
      <c r="G6" s="16">
        <f>'Income Statement'!G27</f>
        <v>16745.599999999991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17EB0-18D9-4F49-B207-DED0C6BC9D46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6.5703125" bestFit="1" customWidth="1"/>
    <col min="5" max="5" width="15.42578125" bestFit="1" customWidth="1"/>
    <col min="6" max="6" width="16.5703125" bestFit="1" customWidth="1"/>
    <col min="7" max="7" width="15.42578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8790.3999999999942</v>
      </c>
      <c r="E5" s="5">
        <f>'Income Statement'!E25</f>
        <v>13491.609999999991</v>
      </c>
      <c r="F5" s="5">
        <f>'Income Statement'!F25</f>
        <v>14947.05</v>
      </c>
      <c r="G5" s="5">
        <f>'Income Statement'!G25</f>
        <v>19531.169999999991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10540.95</v>
      </c>
      <c r="E7" s="5">
        <f>'Income Statement'!E18</f>
        <v>11607.04</v>
      </c>
      <c r="F7" s="5">
        <f>'Income Statement'!F18</f>
        <v>12039.19</v>
      </c>
      <c r="G7" s="5">
        <f>'Income Statement'!G18</f>
        <v>12871.66</v>
      </c>
    </row>
    <row r="8" spans="2:7" ht="18.75" x14ac:dyDescent="0.25">
      <c r="B8" s="8" t="s">
        <v>131</v>
      </c>
      <c r="C8" s="4"/>
      <c r="D8" s="5">
        <f>'Income Statement'!D20</f>
        <v>8736.57</v>
      </c>
      <c r="E8" s="5">
        <f>'Income Statement'!E20</f>
        <v>9509</v>
      </c>
      <c r="F8" s="5">
        <f>'Income Statement'!F20</f>
        <v>8134.69</v>
      </c>
      <c r="G8" s="5">
        <f>'Income Statement'!G20</f>
        <v>8036.22</v>
      </c>
    </row>
    <row r="9" spans="2:7" ht="18.75" x14ac:dyDescent="0.25">
      <c r="B9" s="8" t="s">
        <v>59</v>
      </c>
      <c r="C9" s="4"/>
      <c r="D9" s="5">
        <f>'Income Statement'!D8</f>
        <v>602.20000000000005</v>
      </c>
      <c r="E9" s="5">
        <f>'Income Statement'!E8</f>
        <v>927.42</v>
      </c>
      <c r="F9" s="5">
        <f>'Income Statement'!F8</f>
        <v>1183.74</v>
      </c>
      <c r="G9" s="5">
        <f>'Income Statement'!G8</f>
        <v>1081.56</v>
      </c>
    </row>
    <row r="10" spans="2:7" ht="18.75" x14ac:dyDescent="0.25">
      <c r="B10" s="9" t="s">
        <v>132</v>
      </c>
      <c r="C10" s="6"/>
      <c r="D10" s="7">
        <f>D7+D8-D9</f>
        <v>18675.32</v>
      </c>
      <c r="E10" s="7">
        <f t="shared" ref="E10:G10" si="0">E7+E8-E9</f>
        <v>20188.620000000003</v>
      </c>
      <c r="F10" s="7">
        <f t="shared" si="0"/>
        <v>18990.14</v>
      </c>
      <c r="G10" s="7">
        <f t="shared" si="0"/>
        <v>19826.32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4">
        <f>'Balance Sheet'!C31-'Balance Sheet'!D31</f>
        <v>0</v>
      </c>
      <c r="E12" s="4">
        <f>'Balance Sheet'!D31-'Balance Sheet'!E31</f>
        <v>0</v>
      </c>
      <c r="F12" s="4">
        <f>'Balance Sheet'!E31-'Balance Sheet'!F31</f>
        <v>0</v>
      </c>
      <c r="G12" s="4">
        <f>'Balance Sheet'!F31-'Balance Sheet'!G31</f>
        <v>0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-48.139999999999986</v>
      </c>
      <c r="E13" s="4">
        <f>'Balance Sheet'!D32-'Balance Sheet'!E32</f>
        <v>-83.449999999999989</v>
      </c>
      <c r="F13" s="4">
        <f>'Balance Sheet'!E32-'Balance Sheet'!F32</f>
        <v>-51</v>
      </c>
      <c r="G13" s="4">
        <f>'Balance Sheet'!F32-'Balance Sheet'!G32</f>
        <v>-83.87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-3143.170000000001</v>
      </c>
      <c r="E14" s="5">
        <f>'Balance Sheet'!D33-'Balance Sheet'!E33</f>
        <v>-668.82999999999993</v>
      </c>
      <c r="F14" s="5">
        <f>'Balance Sheet'!E33-'Balance Sheet'!F33</f>
        <v>1066.8700000000008</v>
      </c>
      <c r="G14" s="5">
        <f>'Balance Sheet'!F33-'Balance Sheet'!G33</f>
        <v>-209.65999999999985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-84.110000000000014</v>
      </c>
      <c r="E15" s="4">
        <f>'Balance Sheet'!D34-'Balance Sheet'!E34</f>
        <v>-21.379999999999995</v>
      </c>
      <c r="F15" s="4">
        <f>'Balance Sheet'!E34-'Balance Sheet'!F34</f>
        <v>25.320000000000007</v>
      </c>
      <c r="G15" s="4">
        <f>'Balance Sheet'!F34-'Balance Sheet'!G34</f>
        <v>28.459999999999994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1243.7800000000007</v>
      </c>
      <c r="E16" s="5">
        <f>'Balance Sheet'!D35-'Balance Sheet'!E35</f>
        <v>-867.30999999999949</v>
      </c>
      <c r="F16" s="5">
        <f>'Balance Sheet'!E35-'Balance Sheet'!F35</f>
        <v>-9320.36</v>
      </c>
      <c r="G16" s="5">
        <f>'Balance Sheet'!F35-'Balance Sheet'!G35</f>
        <v>8914.77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-197.90000000000009</v>
      </c>
      <c r="E17" s="5">
        <f>'Balance Sheet'!D36-'Balance Sheet'!E36</f>
        <v>-186.21000000000004</v>
      </c>
      <c r="F17" s="5">
        <f>'Balance Sheet'!E36-'Balance Sheet'!F36</f>
        <v>66.519999999999982</v>
      </c>
      <c r="G17" s="5">
        <f>'Balance Sheet'!F36-'Balance Sheet'!G36</f>
        <v>9.7699999999999818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-1088.0800000000004</v>
      </c>
      <c r="E18" s="5">
        <f>'Balance Sheet'!D37-'Balance Sheet'!E37</f>
        <v>-312.60999999999967</v>
      </c>
      <c r="F18" s="5">
        <f>'Balance Sheet'!E37-'Balance Sheet'!F37</f>
        <v>1365.1799999999998</v>
      </c>
      <c r="G18" s="5">
        <f>'Balance Sheet'!F37-'Balance Sheet'!G37</f>
        <v>-5799.5399999999991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4">
        <f>'Balance Sheet'!D14-'Balance Sheet'!C14</f>
        <v>-348.72</v>
      </c>
      <c r="E20" s="4">
        <f>'Balance Sheet'!E14-'Balance Sheet'!D14</f>
        <v>56.56</v>
      </c>
      <c r="F20" s="4">
        <f>'Balance Sheet'!F14-'Balance Sheet'!E14</f>
        <v>37.31</v>
      </c>
      <c r="G20" s="4">
        <f>'Balance Sheet'!G14-'Balance Sheet'!F14</f>
        <v>55.120000000000005</v>
      </c>
    </row>
    <row r="21" spans="2:7" ht="18.75" x14ac:dyDescent="0.25">
      <c r="B21" s="8" t="str">
        <f>'Balance Sheet'!B15</f>
        <v>Short Term Provisions</v>
      </c>
      <c r="C21" s="4"/>
      <c r="D21" s="5">
        <f>'Balance Sheet'!D15-'Balance Sheet'!C15</f>
        <v>-358.45999999999992</v>
      </c>
      <c r="E21" s="5">
        <f>'Balance Sheet'!E15-'Balance Sheet'!D15</f>
        <v>40.899999999999977</v>
      </c>
      <c r="F21" s="5">
        <f>'Balance Sheet'!F15-'Balance Sheet'!E15</f>
        <v>103.08000000000004</v>
      </c>
      <c r="G21" s="5">
        <f>'Balance Sheet'!G15-'Balance Sheet'!F15</f>
        <v>321.99999999999989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3564.34</v>
      </c>
      <c r="E22" s="5">
        <f>'Balance Sheet'!E16-'Balance Sheet'!D16</f>
        <v>-595.43000000000029</v>
      </c>
      <c r="F22" s="5">
        <f>'Balance Sheet'!F16-'Balance Sheet'!E16</f>
        <v>86.569999999999709</v>
      </c>
      <c r="G22" s="5">
        <f>'Balance Sheet'!G16-'Balance Sheet'!F16</f>
        <v>9335.77</v>
      </c>
    </row>
    <row r="23" spans="2:7" ht="18.75" x14ac:dyDescent="0.25">
      <c r="B23" s="8" t="str">
        <f>'Balance Sheet'!B17</f>
        <v>Trade Payables</v>
      </c>
      <c r="C23" s="4"/>
      <c r="D23" s="4">
        <f>'Balance Sheet'!D17-'Balance Sheet'!C17</f>
        <v>124.69</v>
      </c>
      <c r="E23" s="4">
        <f>'Balance Sheet'!E17-'Balance Sheet'!D17</f>
        <v>-138.59</v>
      </c>
      <c r="F23" s="4">
        <f>'Balance Sheet'!F17-'Balance Sheet'!E17</f>
        <v>-39.06</v>
      </c>
      <c r="G23" s="4">
        <f>'Balance Sheet'!G17-'Balance Sheet'!F17</f>
        <v>79.620000000000033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5932.4700000000012</v>
      </c>
      <c r="E24" s="5">
        <f>'Balance Sheet'!E18-'Balance Sheet'!D18</f>
        <v>323.32999999999447</v>
      </c>
      <c r="F24" s="5">
        <f>'Balance Sheet'!F18-'Balance Sheet'!E18</f>
        <v>505.76000000000204</v>
      </c>
      <c r="G24" s="5">
        <f>'Balance Sheet'!G18-'Balance Sheet'!F18</f>
        <v>-24120.1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-886.35</v>
      </c>
      <c r="E26" s="5">
        <f>'Income Statement'!E26</f>
        <v>3530.75</v>
      </c>
      <c r="F26" s="5">
        <f>'Income Statement'!F26</f>
        <v>3464.25</v>
      </c>
      <c r="G26" s="5">
        <f>'Income Statement'!G26</f>
        <v>2785.57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33948.76999999999</v>
      </c>
      <c r="E27" s="7">
        <f t="shared" ref="E27:G27" si="1">E12+E13+E14+E15+E16+E17+E18+E20+E21+E22+E23+E24-E26+E10+E5</f>
        <v>27696.459999999992</v>
      </c>
      <c r="F27" s="7">
        <f t="shared" si="1"/>
        <v>24319.13</v>
      </c>
      <c r="G27" s="7">
        <f t="shared" si="1"/>
        <v>25104.259999999995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-16226.609999999986</v>
      </c>
      <c r="E29" s="5">
        <f>'Balance Sheet'!D23-'Balance Sheet'!E23</f>
        <v>-8391.8300000000163</v>
      </c>
      <c r="F29" s="5">
        <f>'Balance Sheet'!E23-'Balance Sheet'!F23</f>
        <v>-2659.1699999999837</v>
      </c>
      <c r="G29" s="5">
        <f>'Balance Sheet'!F23-'Balance Sheet'!G23</f>
        <v>-22517.420000000013</v>
      </c>
    </row>
    <row r="30" spans="2:7" ht="18.75" x14ac:dyDescent="0.25">
      <c r="B30" s="8" t="str">
        <f>'Balance Sheet'!B24</f>
        <v>Intangible Assets</v>
      </c>
      <c r="C30" s="4"/>
      <c r="D30" s="5">
        <f>'Balance Sheet'!C24-'Balance Sheet'!D24</f>
        <v>-314.74</v>
      </c>
      <c r="E30" s="5">
        <f>'Balance Sheet'!D24-'Balance Sheet'!E24</f>
        <v>19.319999999999936</v>
      </c>
      <c r="F30" s="5">
        <f>'Balance Sheet'!E24-'Balance Sheet'!F24</f>
        <v>45.329999999999927</v>
      </c>
      <c r="G30" s="5">
        <f>'Balance Sheet'!F24-'Balance Sheet'!G24</f>
        <v>1616.95</v>
      </c>
    </row>
    <row r="31" spans="2:7" ht="18.75" x14ac:dyDescent="0.25">
      <c r="B31" s="8" t="str">
        <f>'Balance Sheet'!B27</f>
        <v>Non-Current Investments</v>
      </c>
      <c r="C31" s="4"/>
      <c r="D31" s="5">
        <f>'Balance Sheet'!C27-'Balance Sheet'!D27</f>
        <v>-72.450000000000045</v>
      </c>
      <c r="E31" s="5">
        <f>'Balance Sheet'!D27-'Balance Sheet'!E27</f>
        <v>-134.65999999999985</v>
      </c>
      <c r="F31" s="5">
        <f>'Balance Sheet'!E27-'Balance Sheet'!F27</f>
        <v>-54.470000000000027</v>
      </c>
      <c r="G31" s="5">
        <f>'Balance Sheet'!F27-'Balance Sheet'!G27</f>
        <v>-2302.09</v>
      </c>
    </row>
    <row r="32" spans="2:7" ht="18.75" x14ac:dyDescent="0.25">
      <c r="B32" s="8" t="str">
        <f>'Balance Sheet'!B28</f>
        <v>Current Investments</v>
      </c>
      <c r="C32" s="4"/>
      <c r="D32" s="4">
        <f>'Balance Sheet'!C28-'Balance Sheet'!D28</f>
        <v>0</v>
      </c>
      <c r="E32" s="4">
        <f>'Balance Sheet'!D28-'Balance Sheet'!E28</f>
        <v>0</v>
      </c>
      <c r="F32" s="4">
        <f>'Balance Sheet'!E28-'Balance Sheet'!F28</f>
        <v>0</v>
      </c>
      <c r="G32" s="4">
        <f>'Balance Sheet'!F28-'Balance Sheet'!G28</f>
        <v>0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280.09999999999854</v>
      </c>
      <c r="E33" s="5">
        <f>'Balance Sheet'!D29-'Balance Sheet'!E29</f>
        <v>2484.0599999999977</v>
      </c>
      <c r="F33" s="5">
        <f>'Balance Sheet'!E29-'Balance Sheet'!F29</f>
        <v>10224.610000000004</v>
      </c>
      <c r="G33" s="5">
        <f>'Balance Sheet'!F29-'Balance Sheet'!G29</f>
        <v>24679.8</v>
      </c>
    </row>
    <row r="34" spans="2:7" ht="18.75" x14ac:dyDescent="0.25">
      <c r="B34" s="8" t="s">
        <v>59</v>
      </c>
      <c r="C34" s="4"/>
      <c r="D34" s="5">
        <f>'Income Statement'!D8</f>
        <v>602.20000000000005</v>
      </c>
      <c r="E34" s="5">
        <f>'Income Statement'!E8</f>
        <v>927.42</v>
      </c>
      <c r="F34" s="5">
        <f>'Income Statement'!F8</f>
        <v>1183.74</v>
      </c>
      <c r="G34" s="5">
        <f>'Income Statement'!G8</f>
        <v>1081.56</v>
      </c>
    </row>
    <row r="35" spans="2:7" ht="18.75" x14ac:dyDescent="0.25">
      <c r="B35" s="9" t="s">
        <v>137</v>
      </c>
      <c r="C35" s="6"/>
      <c r="D35" s="7">
        <f>D29+D30+D31+D32+D33+D34</f>
        <v>-15731.499999999989</v>
      </c>
      <c r="E35" s="7">
        <f t="shared" ref="E35:G35" si="2">E29+E30+E31+E32+E33+E34</f>
        <v>-5095.6900000000187</v>
      </c>
      <c r="F35" s="7">
        <f t="shared" si="2"/>
        <v>8740.0400000000209</v>
      </c>
      <c r="G35" s="7">
        <f t="shared" si="2"/>
        <v>2558.799999999987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5">
        <f>'Balance Sheet'!D5-'Balance Sheet'!C5</f>
        <v>0</v>
      </c>
      <c r="E37" s="5">
        <f>'Balance Sheet'!E5-'Balance Sheet'!D5</f>
        <v>0</v>
      </c>
      <c r="F37" s="5">
        <f>'Balance Sheet'!F5-'Balance Sheet'!E5</f>
        <v>0</v>
      </c>
      <c r="G37" s="5">
        <f>'Balance Sheet'!G5-'Balance Sheet'!F5</f>
        <v>1743.8599999999997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8619.1900000000023</v>
      </c>
      <c r="E39" s="5">
        <f>'Balance Sheet'!E10-'Balance Sheet'!D10</f>
        <v>4091.5999999999767</v>
      </c>
      <c r="F39" s="5">
        <f>'Balance Sheet'!F10-'Balance Sheet'!E10</f>
        <v>-6246.3199999999924</v>
      </c>
      <c r="G39" s="5">
        <f>'Balance Sheet'!G10-'Balance Sheet'!F10</f>
        <v>-14975.39</v>
      </c>
    </row>
    <row r="40" spans="2:7" ht="18.75" x14ac:dyDescent="0.25">
      <c r="B40" s="8" t="str">
        <f>'Balance Sheet'!B11</f>
        <v>Deferred Tax Liabilities [Net]</v>
      </c>
      <c r="C40" s="4"/>
      <c r="D40" s="5">
        <f>'Balance Sheet'!D11-'Balance Sheet'!C11</f>
        <v>-3454.3700000000008</v>
      </c>
      <c r="E40" s="5">
        <f>'Balance Sheet'!E11-'Balance Sheet'!D11</f>
        <v>1210.3000000000011</v>
      </c>
      <c r="F40" s="5">
        <f>'Balance Sheet'!F11-'Balance Sheet'!E11</f>
        <v>607.84000000000015</v>
      </c>
      <c r="G40" s="5">
        <f>'Balance Sheet'!G11-'Balance Sheet'!F11</f>
        <v>-479.64000000000124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3300</v>
      </c>
      <c r="E41" s="5">
        <f>'Balance Sheet'!E12-'Balance Sheet'!D12</f>
        <v>-1300</v>
      </c>
      <c r="F41" s="5">
        <f>'Balance Sheet'!F12-'Balance Sheet'!E12</f>
        <v>-1200</v>
      </c>
      <c r="G41" s="5">
        <f>'Balance Sheet'!G12-'Balance Sheet'!F12</f>
        <v>18665.87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0</v>
      </c>
      <c r="E42" s="4">
        <f>'Balance Sheet'!E20-'Balance Sheet'!D20</f>
        <v>0</v>
      </c>
      <c r="F42" s="4">
        <f>'Balance Sheet'!F20-'Balance Sheet'!E20</f>
        <v>0</v>
      </c>
      <c r="G42" s="4">
        <f>'Balance Sheet'!G20-'Balance Sheet'!F20</f>
        <v>0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4514.87</v>
      </c>
      <c r="E44" s="5">
        <f>'Income Statement'!E28</f>
        <v>3118.02</v>
      </c>
      <c r="F44" s="5">
        <f>'Income Statement'!F28</f>
        <v>6821.99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940.5</v>
      </c>
      <c r="E45" s="4">
        <f>'Income Statement'!E29</f>
        <v>637.94000000000005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5">
        <f>'Income Statement'!D20</f>
        <v>8736.57</v>
      </c>
      <c r="E46" s="5">
        <f>'Income Statement'!E20</f>
        <v>9509</v>
      </c>
      <c r="F46" s="5">
        <f>'Income Statement'!F20</f>
        <v>8134.69</v>
      </c>
      <c r="G46" s="5">
        <f>'Income Statement'!G20</f>
        <v>8036.22</v>
      </c>
    </row>
    <row r="47" spans="2:7" ht="18.75" x14ac:dyDescent="0.25">
      <c r="B47" s="9" t="s">
        <v>141</v>
      </c>
      <c r="C47" s="6"/>
      <c r="D47" s="7">
        <f>D37+D38+D39+D40+D41+D42-D44-D45-D46</f>
        <v>-5727.1199999999981</v>
      </c>
      <c r="E47" s="7">
        <f t="shared" ref="E47:G47" si="3">E37+E38+E39+E40+E41+E42-E44-E45-E46</f>
        <v>-9263.0600000000231</v>
      </c>
      <c r="F47" s="7">
        <f t="shared" si="3"/>
        <v>-21795.159999999993</v>
      </c>
      <c r="G47" s="7">
        <f t="shared" si="3"/>
        <v>-3081.5200000000013</v>
      </c>
    </row>
    <row r="48" spans="2:7" ht="18.75" x14ac:dyDescent="0.25">
      <c r="B48" s="9" t="s">
        <v>142</v>
      </c>
      <c r="C48" s="6"/>
      <c r="D48" s="7">
        <f>D27+D35+D47</f>
        <v>12490.150000000001</v>
      </c>
      <c r="E48" s="7">
        <f t="shared" ref="E48:G48" si="4">E27+E35+E47</f>
        <v>13337.709999999952</v>
      </c>
      <c r="F48" s="7">
        <f t="shared" si="4"/>
        <v>11264.010000000028</v>
      </c>
      <c r="G48" s="7">
        <f t="shared" si="4"/>
        <v>24581.539999999983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1D216A-F515-4A8C-B07F-34E8788C6FA8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5" width="14.85546875" bestFit="1" customWidth="1"/>
    <col min="6" max="6" width="15.140625" bestFit="1" customWidth="1"/>
    <col min="7" max="7" width="14.8554687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8007.4</v>
      </c>
      <c r="D6" s="16">
        <f>'Income Statement'!D27</f>
        <v>9676.7499999999945</v>
      </c>
      <c r="E6" s="16">
        <f>'Income Statement'!E27</f>
        <v>9960.8599999999915</v>
      </c>
      <c r="F6" s="16">
        <f>'Income Statement'!F27</f>
        <v>11482.8</v>
      </c>
      <c r="G6" s="16">
        <f>'Income Statement'!G27</f>
        <v>16745.599999999991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500.46249999999998</v>
      </c>
      <c r="D7" s="16">
        <f>'Income Statement'!D35</f>
        <v>509.30263157894706</v>
      </c>
      <c r="E7" s="16">
        <f>'Income Statement'!E35</f>
        <v>474.32666666666626</v>
      </c>
      <c r="F7" s="16">
        <f>'Income Statement'!F35</f>
        <v>499.25217391304346</v>
      </c>
      <c r="G7" s="16">
        <f>'Income Statement'!G35</f>
        <v>697.73333333333301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16</v>
      </c>
      <c r="D8" s="17">
        <f t="shared" ref="D8:G8" si="0">ROUND(D6/D7, 2)</f>
        <v>19</v>
      </c>
      <c r="E8" s="17">
        <f t="shared" si="0"/>
        <v>21</v>
      </c>
      <c r="F8" s="17">
        <f t="shared" si="0"/>
        <v>23</v>
      </c>
      <c r="G8" s="17">
        <f t="shared" si="0"/>
        <v>24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3034.33</v>
      </c>
      <c r="D11" s="16">
        <f>'Income Statement'!D28</f>
        <v>4514.87</v>
      </c>
      <c r="E11" s="16">
        <f>'Income Statement'!E28</f>
        <v>3118.02</v>
      </c>
      <c r="F11" s="16">
        <f>'Income Statement'!F28</f>
        <v>6821.99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500.46249999999998</v>
      </c>
      <c r="D12" s="16">
        <f>'Income Statement'!D35</f>
        <v>509.30263157894706</v>
      </c>
      <c r="E12" s="16">
        <f>'Income Statement'!E35</f>
        <v>474.32666666666626</v>
      </c>
      <c r="F12" s="16">
        <f>'Income Statement'!F35</f>
        <v>499.25217391304346</v>
      </c>
      <c r="G12" s="16">
        <f>'Income Statement'!G35</f>
        <v>697.73333333333301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6.06</v>
      </c>
      <c r="D13" s="17">
        <f t="shared" ref="D13:G13" si="1">ROUND(D11/D12, 2)</f>
        <v>8.86</v>
      </c>
      <c r="E13" s="17">
        <f t="shared" si="1"/>
        <v>6.57</v>
      </c>
      <c r="F13" s="17">
        <f t="shared" si="1"/>
        <v>13.66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54425.990000000005</v>
      </c>
      <c r="D16" s="16">
        <f>'Balance Sheet'!D9</f>
        <v>58647.369999999995</v>
      </c>
      <c r="E16" s="16">
        <f>'Balance Sheet'!E9</f>
        <v>64852.26999999999</v>
      </c>
      <c r="F16" s="16">
        <f>'Balance Sheet'!F9</f>
        <v>69513.079999999987</v>
      </c>
      <c r="G16" s="16">
        <f>'Balance Sheet'!G9</f>
        <v>88002.539999999979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500.46249999999998</v>
      </c>
      <c r="D17" s="16">
        <f>'Income Statement'!D35</f>
        <v>509.30263157894706</v>
      </c>
      <c r="E17" s="16">
        <f>'Income Statement'!E35</f>
        <v>474.32666666666626</v>
      </c>
      <c r="F17" s="16">
        <f>'Income Statement'!F35</f>
        <v>499.25217391304346</v>
      </c>
      <c r="G17" s="16">
        <f>'Income Statement'!G35</f>
        <v>697.73333333333301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108.75</v>
      </c>
      <c r="D18" s="17">
        <f t="shared" ref="D18:G18" si="2">ROUND(D16/D17, 2)</f>
        <v>115.15</v>
      </c>
      <c r="E18" s="17">
        <f t="shared" si="2"/>
        <v>136.72</v>
      </c>
      <c r="F18" s="17">
        <f t="shared" si="2"/>
        <v>139.22999999999999</v>
      </c>
      <c r="G18" s="17">
        <f t="shared" si="2"/>
        <v>126.13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3034.33</v>
      </c>
      <c r="D21" s="16">
        <f>'Income Statement'!D28</f>
        <v>4514.87</v>
      </c>
      <c r="E21" s="16">
        <f>'Income Statement'!E28</f>
        <v>3118.02</v>
      </c>
      <c r="F21" s="16">
        <f>'Income Statement'!F28</f>
        <v>6821.99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500.46249999999998</v>
      </c>
      <c r="D22" s="16">
        <f>'Income Statement'!D35</f>
        <v>509.30263157894706</v>
      </c>
      <c r="E22" s="16">
        <f>'Income Statement'!E35</f>
        <v>474.32666666666626</v>
      </c>
      <c r="F22" s="16">
        <f>'Income Statement'!F35</f>
        <v>499.25217391304346</v>
      </c>
      <c r="G22" s="16">
        <f>'Income Statement'!G35</f>
        <v>697.73333333333301</v>
      </c>
    </row>
    <row r="23" spans="2:12" ht="18.75" x14ac:dyDescent="0.25">
      <c r="B23" s="15" t="s">
        <v>148</v>
      </c>
      <c r="C23" s="16">
        <f>ROUND(C21/C22, 2)</f>
        <v>6.06</v>
      </c>
      <c r="D23" s="16">
        <f t="shared" ref="D23:G23" si="3">ROUND(D21/D22, 2)</f>
        <v>8.86</v>
      </c>
      <c r="E23" s="16">
        <f t="shared" si="3"/>
        <v>6.57</v>
      </c>
      <c r="F23" s="16">
        <f t="shared" si="3"/>
        <v>13.66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8007.4</v>
      </c>
      <c r="D24" s="16">
        <f>'Income Statement'!D27</f>
        <v>9676.7499999999945</v>
      </c>
      <c r="E24" s="16">
        <f>'Income Statement'!E27</f>
        <v>9960.8599999999915</v>
      </c>
      <c r="F24" s="16">
        <f>'Income Statement'!F27</f>
        <v>11482.8</v>
      </c>
      <c r="G24" s="16">
        <f>'Income Statement'!G27</f>
        <v>16745.599999999991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500.46249999999998</v>
      </c>
      <c r="D25" s="16">
        <f>'Income Statement'!D35</f>
        <v>509.30263157894706</v>
      </c>
      <c r="E25" s="16">
        <f>'Income Statement'!E35</f>
        <v>474.32666666666626</v>
      </c>
      <c r="F25" s="16">
        <f>'Income Statement'!F35</f>
        <v>499.25217391304346</v>
      </c>
      <c r="G25" s="16">
        <f>'Income Statement'!G35</f>
        <v>697.73333333333301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16</v>
      </c>
      <c r="D26" s="16">
        <f t="shared" ref="D26:G26" si="4">D24/D25</f>
        <v>19</v>
      </c>
      <c r="E26" s="16">
        <f t="shared" si="4"/>
        <v>21</v>
      </c>
      <c r="F26" s="16">
        <f t="shared" si="4"/>
        <v>23</v>
      </c>
      <c r="G26" s="16">
        <f t="shared" si="4"/>
        <v>24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0.38</v>
      </c>
      <c r="D27" s="17">
        <f t="shared" ref="D27:G27" si="5">ROUND(D23/D26, 2)</f>
        <v>0.47</v>
      </c>
      <c r="E27" s="17">
        <f t="shared" si="5"/>
        <v>0.31</v>
      </c>
      <c r="F27" s="17">
        <f t="shared" si="5"/>
        <v>0.59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3034.33</v>
      </c>
      <c r="D30" s="16">
        <f>'Income Statement'!D28</f>
        <v>4514.87</v>
      </c>
      <c r="E30" s="16">
        <f>'Income Statement'!E28</f>
        <v>3118.02</v>
      </c>
      <c r="F30" s="16">
        <f>'Income Statement'!F28</f>
        <v>6821.99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500.46249999999998</v>
      </c>
      <c r="D31" s="16">
        <f>'Income Statement'!D35</f>
        <v>509.30263157894706</v>
      </c>
      <c r="E31" s="16">
        <f>'Income Statement'!E35</f>
        <v>474.32666666666626</v>
      </c>
      <c r="F31" s="16">
        <f>'Income Statement'!F35</f>
        <v>499.25217391304346</v>
      </c>
      <c r="G31" s="16">
        <f>'Income Statement'!G35</f>
        <v>697.73333333333301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6.06</v>
      </c>
      <c r="D32" s="16">
        <f t="shared" ref="D32:G32" si="6">ROUND(D30/D31, 2)</f>
        <v>8.86</v>
      </c>
      <c r="E32" s="16">
        <f t="shared" si="6"/>
        <v>6.57</v>
      </c>
      <c r="F32" s="16">
        <f t="shared" si="6"/>
        <v>13.66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-5.0599999999999996</v>
      </c>
      <c r="D33" s="27">
        <f t="shared" ref="D33:G33" si="7">1-D32</f>
        <v>-7.8599999999999994</v>
      </c>
      <c r="E33" s="27">
        <f t="shared" si="7"/>
        <v>-5.57</v>
      </c>
      <c r="F33" s="27">
        <f t="shared" si="7"/>
        <v>-12.66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29904.959999999999</v>
      </c>
      <c r="D36" s="16">
        <f>'Income Statement'!D5</f>
        <v>34831.17</v>
      </c>
      <c r="E36" s="16">
        <f>'Income Statement'!E5</f>
        <v>36800.129999999997</v>
      </c>
      <c r="F36" s="16">
        <f>'Income Statement'!F5</f>
        <v>39300.83</v>
      </c>
      <c r="G36" s="16">
        <f>'Income Statement'!G5</f>
        <v>41616.339999999997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0</v>
      </c>
      <c r="D37" s="16">
        <f>'Income Statement'!D11</f>
        <v>0</v>
      </c>
      <c r="E37" s="16">
        <f>'Income Statement'!E11</f>
        <v>0</v>
      </c>
      <c r="F37" s="16">
        <f>'Income Statement'!F11</f>
        <v>0</v>
      </c>
      <c r="G37" s="16">
        <f>'Income Statement'!G11</f>
        <v>0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29904.959999999999</v>
      </c>
      <c r="D38" s="28">
        <f t="shared" ref="D38:G38" si="8">ROUND(D36- D37, 2)</f>
        <v>34831.17</v>
      </c>
      <c r="E38" s="28">
        <f t="shared" si="8"/>
        <v>36800.129999999997</v>
      </c>
      <c r="F38" s="28">
        <f t="shared" si="8"/>
        <v>39300.83</v>
      </c>
      <c r="G38" s="28">
        <f t="shared" si="8"/>
        <v>41616.339999999997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29904.959999999999</v>
      </c>
      <c r="D41" s="16">
        <f>'Income Statement'!D5</f>
        <v>34831.17</v>
      </c>
      <c r="E41" s="16">
        <f>'Income Statement'!E5</f>
        <v>36800.129999999997</v>
      </c>
      <c r="F41" s="16">
        <f>'Income Statement'!F5</f>
        <v>39300.83</v>
      </c>
      <c r="G41" s="16">
        <f>'Income Statement'!G5</f>
        <v>41616.339999999997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3836.79</v>
      </c>
      <c r="D42" s="16">
        <f>'Income Statement'!D15</f>
        <v>4838.58</v>
      </c>
      <c r="E42" s="16">
        <f>'Income Statement'!E15</f>
        <v>4803.3</v>
      </c>
      <c r="F42" s="16">
        <f>'Income Statement'!F15</f>
        <v>4646.68</v>
      </c>
      <c r="G42" s="16">
        <f>'Income Statement'!G15</f>
        <v>5049.4400000000005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26068.17</v>
      </c>
      <c r="D43" s="28">
        <f t="shared" ref="D43:G43" si="9">ROUND(D41- D42, 2)</f>
        <v>29992.59</v>
      </c>
      <c r="E43" s="28">
        <f t="shared" si="9"/>
        <v>31996.83</v>
      </c>
      <c r="F43" s="28">
        <f t="shared" si="9"/>
        <v>34654.15</v>
      </c>
      <c r="G43" s="28">
        <f t="shared" si="9"/>
        <v>36566.9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8007.4</v>
      </c>
      <c r="D46" s="16">
        <f>'Income Statement'!D27</f>
        <v>9676.7499999999945</v>
      </c>
      <c r="E46" s="16">
        <f>'Income Statement'!E27</f>
        <v>9960.8599999999915</v>
      </c>
      <c r="F46" s="16">
        <f>'Income Statement'!F27</f>
        <v>11482.8</v>
      </c>
      <c r="G46" s="16">
        <f>'Income Statement'!G27</f>
        <v>16745.599999999991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225316.05</v>
      </c>
      <c r="D47" s="16">
        <f>'Balance Sheet'!D40</f>
        <v>246916.57</v>
      </c>
      <c r="E47" s="16">
        <f>'Balance Sheet'!E40</f>
        <v>256810.13999999996</v>
      </c>
      <c r="F47" s="16">
        <f>'Balance Sheet'!F40</f>
        <v>255326.12999999998</v>
      </c>
      <c r="G47" s="16">
        <f>'Balance Sheet'!G40</f>
        <v>262698.83999999997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0.04</v>
      </c>
      <c r="D48" s="27">
        <f t="shared" ref="D48:G48" si="10">ROUND(D46/ D47, 2)</f>
        <v>0.04</v>
      </c>
      <c r="E48" s="27">
        <f t="shared" si="10"/>
        <v>0.04</v>
      </c>
      <c r="F48" s="27">
        <f t="shared" si="10"/>
        <v>0.04</v>
      </c>
      <c r="G48" s="27">
        <f t="shared" si="10"/>
        <v>0.06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17314.099999999999</v>
      </c>
      <c r="D51" s="16">
        <f>'Income Statement'!D19</f>
        <v>20053.839999999993</v>
      </c>
      <c r="E51" s="16">
        <f>'Income Statement'!E19</f>
        <v>21317.209999999992</v>
      </c>
      <c r="F51" s="16">
        <f>'Income Statement'!F19</f>
        <v>23798.699999999997</v>
      </c>
      <c r="G51" s="16">
        <f>'Income Statement'!G19</f>
        <v>24776.799999999992</v>
      </c>
    </row>
    <row r="52" spans="2:12" ht="19.5" thickTop="1" x14ac:dyDescent="0.25">
      <c r="B52" s="15" t="str">
        <f>'Balance Sheet'!B13</f>
        <v>Total Debt</v>
      </c>
      <c r="C52" s="16">
        <f>'Balance Sheet'!C13</f>
        <v>137183.17000000001</v>
      </c>
      <c r="D52" s="16">
        <f>'Balance Sheet'!D13</f>
        <v>145647.99000000002</v>
      </c>
      <c r="E52" s="16">
        <f>'Balance Sheet'!E13</f>
        <v>149649.88999999998</v>
      </c>
      <c r="F52" s="16">
        <f>'Balance Sheet'!F13</f>
        <v>142811.41</v>
      </c>
      <c r="G52" s="16">
        <f>'Balance Sheet'!G13</f>
        <v>146022.25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54425.990000000005</v>
      </c>
      <c r="D53" s="16">
        <f>'Balance Sheet'!D9</f>
        <v>58647.369999999995</v>
      </c>
      <c r="E53" s="16">
        <f>'Balance Sheet'!E9</f>
        <v>64852.26999999999</v>
      </c>
      <c r="F53" s="16">
        <f>'Balance Sheet'!F9</f>
        <v>69513.079999999987</v>
      </c>
      <c r="G53" s="16">
        <f>'Balance Sheet'!G9</f>
        <v>88002.539999999979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0.06</v>
      </c>
      <c r="D54" s="27">
        <f t="shared" ref="D54:G54" si="11">ROUND(D51/ (D52+ D52), 2)</f>
        <v>7.0000000000000007E-2</v>
      </c>
      <c r="E54" s="27">
        <f t="shared" si="11"/>
        <v>7.0000000000000007E-2</v>
      </c>
      <c r="F54" s="27">
        <f t="shared" si="11"/>
        <v>0.08</v>
      </c>
      <c r="G54" s="27">
        <f t="shared" si="11"/>
        <v>0.08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8007.4</v>
      </c>
      <c r="D57" s="16">
        <f>'Income Statement'!D27</f>
        <v>9676.7499999999945</v>
      </c>
      <c r="E57" s="16">
        <f>'Income Statement'!E27</f>
        <v>9960.8599999999915</v>
      </c>
      <c r="F57" s="16">
        <f>'Income Statement'!F27</f>
        <v>11482.8</v>
      </c>
      <c r="G57" s="16">
        <f>'Income Statement'!G27</f>
        <v>16745.599999999991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54425.990000000005</v>
      </c>
      <c r="D58" s="16">
        <f>'Balance Sheet'!D9</f>
        <v>58647.369999999995</v>
      </c>
      <c r="E58" s="16">
        <f>'Balance Sheet'!E9</f>
        <v>64852.26999999999</v>
      </c>
      <c r="F58" s="16">
        <f>'Balance Sheet'!F9</f>
        <v>69513.079999999987</v>
      </c>
      <c r="G58" s="16">
        <f>'Balance Sheet'!G9</f>
        <v>88002.539999999979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7.0000000000000007E-2</v>
      </c>
      <c r="D59" s="27">
        <f t="shared" ref="D59:G59" si="12">ROUND(D57/ (D58+ D58), 2)</f>
        <v>0.08</v>
      </c>
      <c r="E59" s="27">
        <f t="shared" si="12"/>
        <v>0.08</v>
      </c>
      <c r="F59" s="27">
        <f t="shared" si="12"/>
        <v>0.08</v>
      </c>
      <c r="G59" s="27">
        <f t="shared" si="12"/>
        <v>0.1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137183.17000000001</v>
      </c>
      <c r="D62" s="16">
        <f>'Balance Sheet'!D13</f>
        <v>145647.99000000002</v>
      </c>
      <c r="E62" s="16">
        <f>'Balance Sheet'!E13</f>
        <v>149649.88999999998</v>
      </c>
      <c r="F62" s="16">
        <f>'Balance Sheet'!F13</f>
        <v>142811.41</v>
      </c>
      <c r="G62" s="16">
        <f>'Balance Sheet'!G13</f>
        <v>146022.25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54425.990000000005</v>
      </c>
      <c r="D63" s="16">
        <f>'Balance Sheet'!D9</f>
        <v>58647.369999999995</v>
      </c>
      <c r="E63" s="16">
        <f>'Balance Sheet'!E9</f>
        <v>64852.26999999999</v>
      </c>
      <c r="F63" s="16">
        <f>'Balance Sheet'!F9</f>
        <v>69513.079999999987</v>
      </c>
      <c r="G63" s="16">
        <f>'Balance Sheet'!G9</f>
        <v>88002.539999999979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2.52</v>
      </c>
      <c r="D64" s="17">
        <f t="shared" ref="D64:G64" si="13">ROUND(D62/ D63, 2)</f>
        <v>2.48</v>
      </c>
      <c r="E64" s="17">
        <f t="shared" si="13"/>
        <v>2.31</v>
      </c>
      <c r="F64" s="17">
        <f t="shared" si="13"/>
        <v>2.0499999999999998</v>
      </c>
      <c r="G64" s="17">
        <f t="shared" si="13"/>
        <v>1.66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30225.239999999998</v>
      </c>
      <c r="D67" s="16">
        <f>'Balance Sheet'!D39</f>
        <v>46033.009999999995</v>
      </c>
      <c r="E67" s="16">
        <f>'Balance Sheet'!E39</f>
        <v>61510.509999999951</v>
      </c>
      <c r="F67" s="16">
        <f>'Balance Sheet'!F39</f>
        <v>79621.989999999991</v>
      </c>
      <c r="G67" s="16">
        <f>'Balance Sheet'!G39</f>
        <v>101343.59999999996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33706.89</v>
      </c>
      <c r="D68" s="16">
        <f>'Balance Sheet'!D19</f>
        <v>42621.210000000006</v>
      </c>
      <c r="E68" s="16">
        <f>'Balance Sheet'!E19</f>
        <v>42307.979999999996</v>
      </c>
      <c r="F68" s="16">
        <f>'Balance Sheet'!F19</f>
        <v>43001.64</v>
      </c>
      <c r="G68" s="16">
        <f>'Balance Sheet'!G19</f>
        <v>28674.050000000003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0.9</v>
      </c>
      <c r="D69" s="17">
        <f t="shared" ref="D69:G69" si="14">ROUND(D67/ D68, 2)</f>
        <v>1.08</v>
      </c>
      <c r="E69" s="17">
        <f t="shared" si="14"/>
        <v>1.45</v>
      </c>
      <c r="F69" s="17">
        <f t="shared" si="14"/>
        <v>1.85</v>
      </c>
      <c r="G69" s="17">
        <f t="shared" si="14"/>
        <v>3.53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30225.239999999998</v>
      </c>
      <c r="D72" s="16">
        <f>'Balance Sheet'!D39</f>
        <v>46033.009999999995</v>
      </c>
      <c r="E72" s="16">
        <f>'Balance Sheet'!E39</f>
        <v>61510.509999999951</v>
      </c>
      <c r="F72" s="16">
        <f>'Balance Sheet'!F39</f>
        <v>79621.989999999991</v>
      </c>
      <c r="G72" s="16">
        <f>'Balance Sheet'!G39</f>
        <v>101343.59999999996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1049.3499999999999</v>
      </c>
      <c r="D73" s="16">
        <f>'Balance Sheet'!D36</f>
        <v>1247.25</v>
      </c>
      <c r="E73" s="16">
        <f>'Balance Sheet'!E36</f>
        <v>1433.46</v>
      </c>
      <c r="F73" s="16">
        <f>'Balance Sheet'!F36</f>
        <v>1366.94</v>
      </c>
      <c r="G73" s="16">
        <f>'Balance Sheet'!G36</f>
        <v>1357.17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33706.89</v>
      </c>
      <c r="D74" s="16">
        <f>'Balance Sheet'!D19</f>
        <v>42621.210000000006</v>
      </c>
      <c r="E74" s="16">
        <f>'Balance Sheet'!E19</f>
        <v>42307.979999999996</v>
      </c>
      <c r="F74" s="16">
        <f>'Balance Sheet'!F19</f>
        <v>43001.64</v>
      </c>
      <c r="G74" s="16">
        <f>'Balance Sheet'!G19</f>
        <v>28674.050000000003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0.87</v>
      </c>
      <c r="D75" s="17">
        <f t="shared" ref="D75:G75" si="15">ROUND((D72-D73)/ D74, 2)</f>
        <v>1.05</v>
      </c>
      <c r="E75" s="17">
        <f t="shared" si="15"/>
        <v>1.42</v>
      </c>
      <c r="F75" s="17">
        <f t="shared" si="15"/>
        <v>1.82</v>
      </c>
      <c r="G75" s="17">
        <f t="shared" si="15"/>
        <v>3.49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17314.099999999999</v>
      </c>
      <c r="D78" s="16">
        <f>'Income Statement'!D19</f>
        <v>20053.839999999993</v>
      </c>
      <c r="E78" s="16">
        <f>'Income Statement'!E19</f>
        <v>21317.209999999992</v>
      </c>
      <c r="F78" s="16">
        <f>'Income Statement'!F19</f>
        <v>23798.699999999997</v>
      </c>
      <c r="G78" s="16">
        <f>'Income Statement'!G19</f>
        <v>24776.799999999992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7324.14</v>
      </c>
      <c r="D79" s="16">
        <f>'Income Statement'!D20</f>
        <v>8736.57</v>
      </c>
      <c r="E79" s="16">
        <f>'Income Statement'!E20</f>
        <v>9509</v>
      </c>
      <c r="F79" s="16">
        <f>'Income Statement'!F20</f>
        <v>8134.69</v>
      </c>
      <c r="G79" s="16">
        <f>'Income Statement'!G20</f>
        <v>8036.22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2.36</v>
      </c>
      <c r="D80" s="17">
        <f t="shared" ref="D80:G80" si="16">ROUND(D78/D79, 2)</f>
        <v>2.2999999999999998</v>
      </c>
      <c r="E80" s="17">
        <f t="shared" si="16"/>
        <v>2.2400000000000002</v>
      </c>
      <c r="F80" s="17">
        <f t="shared" si="16"/>
        <v>2.93</v>
      </c>
      <c r="G80" s="17">
        <f t="shared" si="16"/>
        <v>3.08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0</v>
      </c>
      <c r="D83" s="16">
        <f>'Income Statement'!D11</f>
        <v>0</v>
      </c>
      <c r="E83" s="16">
        <f>'Income Statement'!E11</f>
        <v>0</v>
      </c>
      <c r="F83" s="16">
        <f>'Income Statement'!F11</f>
        <v>0</v>
      </c>
      <c r="G83" s="16">
        <f>'Income Statement'!G11</f>
        <v>0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29904.959999999999</v>
      </c>
      <c r="D84" s="16">
        <f>'Income Statement'!D7</f>
        <v>34831.17</v>
      </c>
      <c r="E84" s="16">
        <f>'Income Statement'!E7</f>
        <v>36800.129999999997</v>
      </c>
      <c r="F84" s="16">
        <f>'Income Statement'!F7</f>
        <v>39300.83</v>
      </c>
      <c r="G84" s="16">
        <f>'Income Statement'!G7</f>
        <v>41616.339999999997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</v>
      </c>
      <c r="D85" s="17">
        <f t="shared" ref="D85:G85" si="17">ROUND(D83/D84, 2)</f>
        <v>0</v>
      </c>
      <c r="E85" s="17">
        <f t="shared" si="17"/>
        <v>0</v>
      </c>
      <c r="F85" s="17">
        <f t="shared" si="17"/>
        <v>0</v>
      </c>
      <c r="G85" s="17">
        <f t="shared" si="17"/>
        <v>0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2189.02</v>
      </c>
      <c r="D88" s="16">
        <f>'Balance Sheet'!D38</f>
        <v>14679.170000000002</v>
      </c>
      <c r="E88" s="16">
        <f>'Balance Sheet'!E38</f>
        <v>28016.879999999954</v>
      </c>
      <c r="F88" s="16">
        <f>'Balance Sheet'!F38</f>
        <v>39280.889999999985</v>
      </c>
      <c r="G88" s="16">
        <f>'Balance Sheet'!G38</f>
        <v>63862.429999999964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0</v>
      </c>
      <c r="D89" s="16">
        <f>'Income Statement'!D11</f>
        <v>0</v>
      </c>
      <c r="E89" s="16">
        <f>'Income Statement'!E11</f>
        <v>0</v>
      </c>
      <c r="F89" s="16">
        <f>'Income Statement'!F11</f>
        <v>0</v>
      </c>
      <c r="G89" s="16">
        <f>'Income Statement'!G11</f>
        <v>0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 t="e">
        <f>ROUND(C88/C89*365, 2)</f>
        <v>#DIV/0!</v>
      </c>
      <c r="D90" s="17" t="e">
        <f t="shared" ref="D90:G90" si="18">ROUND(D88/D89*365, 2)</f>
        <v>#DIV/0!</v>
      </c>
      <c r="E90" s="17" t="e">
        <f t="shared" si="18"/>
        <v>#DIV/0!</v>
      </c>
      <c r="F90" s="17" t="e">
        <f t="shared" si="18"/>
        <v>#DIV/0!</v>
      </c>
      <c r="G90" s="17" t="e">
        <f t="shared" si="18"/>
        <v>#DIV/0!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2189.02</v>
      </c>
      <c r="D93" s="16">
        <f>'Balance Sheet'!D38</f>
        <v>14679.170000000002</v>
      </c>
      <c r="E93" s="16">
        <f>'Balance Sheet'!E38</f>
        <v>28016.879999999954</v>
      </c>
      <c r="F93" s="16">
        <f>'Balance Sheet'!F38</f>
        <v>39280.889999999985</v>
      </c>
      <c r="G93" s="16">
        <f>'Balance Sheet'!G38</f>
        <v>63862.429999999964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2189.02</v>
      </c>
      <c r="D95" s="17">
        <f t="shared" ref="D95:G95" si="19">ROUND(D93/D94*365, 2)</f>
        <v>14679.17</v>
      </c>
      <c r="E95" s="17">
        <f t="shared" si="19"/>
        <v>28016.880000000001</v>
      </c>
      <c r="F95" s="17">
        <f t="shared" si="19"/>
        <v>39280.89</v>
      </c>
      <c r="G95" s="17">
        <f t="shared" si="19"/>
        <v>63862.43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29904.959999999999</v>
      </c>
      <c r="D98" s="16">
        <f>'Income Statement'!D5</f>
        <v>34831.17</v>
      </c>
      <c r="E98" s="16">
        <f>'Income Statement'!E5</f>
        <v>36800.129999999997</v>
      </c>
      <c r="F98" s="16">
        <f>'Income Statement'!F5</f>
        <v>39300.83</v>
      </c>
      <c r="G98" s="16">
        <f>'Income Statement'!G5</f>
        <v>41616.339999999997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225316.05</v>
      </c>
      <c r="D99" s="16">
        <f>'Balance Sheet'!D40</f>
        <v>246916.57</v>
      </c>
      <c r="E99" s="16">
        <f>'Balance Sheet'!E40</f>
        <v>256810.13999999996</v>
      </c>
      <c r="F99" s="16">
        <f>'Balance Sheet'!F40</f>
        <v>255326.12999999998</v>
      </c>
      <c r="G99" s="16">
        <f>'Balance Sheet'!G40</f>
        <v>262698.83999999997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0.13</v>
      </c>
      <c r="D100" s="17">
        <f t="shared" ref="D100:G100" si="20">ROUND(D98/D99, 2)</f>
        <v>0.14000000000000001</v>
      </c>
      <c r="E100" s="17">
        <f t="shared" si="20"/>
        <v>0.14000000000000001</v>
      </c>
      <c r="F100" s="17">
        <f t="shared" si="20"/>
        <v>0.15</v>
      </c>
      <c r="G100" s="17">
        <f t="shared" si="20"/>
        <v>0.16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29904.959999999999</v>
      </c>
      <c r="D103" s="16">
        <f>'Income Statement'!D5</f>
        <v>34831.17</v>
      </c>
      <c r="E103" s="16">
        <f>'Income Statement'!E5</f>
        <v>36800.129999999997</v>
      </c>
      <c r="F103" s="16">
        <f>'Income Statement'!F5</f>
        <v>39300.83</v>
      </c>
      <c r="G103" s="16">
        <f>'Income Statement'!G5</f>
        <v>41616.339999999997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1049.3499999999999</v>
      </c>
      <c r="D104" s="16">
        <f>'Balance Sheet'!D36</f>
        <v>1247.25</v>
      </c>
      <c r="E104" s="16">
        <f>'Balance Sheet'!E36</f>
        <v>1433.46</v>
      </c>
      <c r="F104" s="16">
        <f>'Balance Sheet'!F36</f>
        <v>1366.94</v>
      </c>
      <c r="G104" s="16">
        <f>'Balance Sheet'!G36</f>
        <v>1357.17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28.5</v>
      </c>
      <c r="D105" s="17">
        <f t="shared" ref="D105:G105" si="21">ROUND(D103/D104, 2)</f>
        <v>27.93</v>
      </c>
      <c r="E105" s="17">
        <f t="shared" si="21"/>
        <v>25.67</v>
      </c>
      <c r="F105" s="17">
        <f t="shared" si="21"/>
        <v>28.75</v>
      </c>
      <c r="G105" s="17">
        <f t="shared" si="21"/>
        <v>30.66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29904.959999999999</v>
      </c>
      <c r="D108" s="16">
        <f>'Income Statement'!D5</f>
        <v>34831.17</v>
      </c>
      <c r="E108" s="16">
        <f>'Income Statement'!E5</f>
        <v>36800.129999999997</v>
      </c>
      <c r="F108" s="16">
        <f>'Income Statement'!F5</f>
        <v>39300.83</v>
      </c>
      <c r="G108" s="16">
        <f>'Income Statement'!G5</f>
        <v>41616.339999999997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3640.02</v>
      </c>
      <c r="D109" s="16">
        <f>'Balance Sheet'!D37</f>
        <v>4728.1000000000004</v>
      </c>
      <c r="E109" s="16">
        <f>'Balance Sheet'!E37</f>
        <v>5040.71</v>
      </c>
      <c r="F109" s="16">
        <f>'Balance Sheet'!F37</f>
        <v>3675.53</v>
      </c>
      <c r="G109" s="16">
        <f>'Balance Sheet'!G37</f>
        <v>9475.07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8.2200000000000006</v>
      </c>
      <c r="D110" s="17">
        <f t="shared" ref="D110:G110" si="22">ROUND(D108/D109, 2)</f>
        <v>7.37</v>
      </c>
      <c r="E110" s="17">
        <f t="shared" si="22"/>
        <v>7.3</v>
      </c>
      <c r="F110" s="17">
        <f t="shared" si="22"/>
        <v>10.69</v>
      </c>
      <c r="G110" s="17">
        <f t="shared" si="22"/>
        <v>4.3899999999999997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29904.959999999999</v>
      </c>
      <c r="D113" s="16">
        <f>'Income Statement'!D5</f>
        <v>34831.17</v>
      </c>
      <c r="E113" s="16">
        <f>'Income Statement'!E5</f>
        <v>36800.129999999997</v>
      </c>
      <c r="F113" s="16">
        <f>'Income Statement'!F5</f>
        <v>39300.83</v>
      </c>
      <c r="G113" s="16">
        <f>'Income Statement'!G5</f>
        <v>41616.339999999997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154831.41</v>
      </c>
      <c r="D114" s="16">
        <f>'Balance Sheet'!D23</f>
        <v>171058.02</v>
      </c>
      <c r="E114" s="16">
        <f>'Balance Sheet'!E23</f>
        <v>179449.85</v>
      </c>
      <c r="F114" s="16">
        <f>'Balance Sheet'!F23</f>
        <v>182109.02</v>
      </c>
      <c r="G114" s="16">
        <f>'Balance Sheet'!G23</f>
        <v>204626.44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0.19</v>
      </c>
      <c r="D115" s="17">
        <f t="shared" ref="D115:G115" si="23">ROUND(D113/D114, 2)</f>
        <v>0.2</v>
      </c>
      <c r="E115" s="17">
        <f t="shared" si="23"/>
        <v>0.21</v>
      </c>
      <c r="F115" s="17">
        <f t="shared" si="23"/>
        <v>0.22</v>
      </c>
      <c r="G115" s="17">
        <f t="shared" si="23"/>
        <v>0.2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0</v>
      </c>
      <c r="D118" s="16">
        <f>'Income Statement'!D11</f>
        <v>0</v>
      </c>
      <c r="E118" s="16">
        <f>'Income Statement'!E11</f>
        <v>0</v>
      </c>
      <c r="F118" s="16">
        <f>'Income Statement'!F11</f>
        <v>0</v>
      </c>
      <c r="G118" s="16">
        <f>'Income Statement'!G11</f>
        <v>0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33706.89</v>
      </c>
      <c r="D119" s="16">
        <f>'Balance Sheet'!D19</f>
        <v>42621.210000000006</v>
      </c>
      <c r="E119" s="16">
        <f>'Balance Sheet'!E19</f>
        <v>42307.979999999996</v>
      </c>
      <c r="F119" s="16">
        <f>'Balance Sheet'!F19</f>
        <v>43001.64</v>
      </c>
      <c r="G119" s="16">
        <f>'Balance Sheet'!G19</f>
        <v>28674.050000000003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</v>
      </c>
      <c r="D120" s="17">
        <f t="shared" ref="D120:G120" si="24">ROUND(D118/D119, 2)</f>
        <v>0</v>
      </c>
      <c r="E120" s="17">
        <f t="shared" si="24"/>
        <v>0</v>
      </c>
      <c r="F120" s="17">
        <f t="shared" si="24"/>
        <v>0</v>
      </c>
      <c r="G120" s="17">
        <f t="shared" si="24"/>
        <v>0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29904.959999999999</v>
      </c>
      <c r="D123" s="16">
        <f>'Income Statement'!D5</f>
        <v>34831.17</v>
      </c>
      <c r="E123" s="16">
        <f>'Income Statement'!E5</f>
        <v>36800.129999999997</v>
      </c>
      <c r="F123" s="16">
        <f>'Income Statement'!F5</f>
        <v>39300.83</v>
      </c>
      <c r="G123" s="16">
        <f>'Income Statement'!G5</f>
        <v>41616.339999999997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1049.3499999999999</v>
      </c>
      <c r="D124" s="16">
        <f>'Balance Sheet'!D36</f>
        <v>1247.25</v>
      </c>
      <c r="E124" s="16">
        <f>'Balance Sheet'!E36</f>
        <v>1433.46</v>
      </c>
      <c r="F124" s="16">
        <f>'Balance Sheet'!F36</f>
        <v>1366.94</v>
      </c>
      <c r="G124" s="16">
        <f>'Balance Sheet'!G36</f>
        <v>1357.17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12.81</v>
      </c>
      <c r="D125" s="17">
        <f t="shared" ref="D125:G125" si="25">ROUND(365/D123*D124, 2)</f>
        <v>13.07</v>
      </c>
      <c r="E125" s="17">
        <f t="shared" si="25"/>
        <v>14.22</v>
      </c>
      <c r="F125" s="17">
        <f t="shared" si="25"/>
        <v>12.7</v>
      </c>
      <c r="G125" s="17">
        <f t="shared" si="25"/>
        <v>11.9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0</v>
      </c>
      <c r="D128" s="16">
        <f>'Income Statement'!D11</f>
        <v>0</v>
      </c>
      <c r="E128" s="16">
        <f>'Income Statement'!E11</f>
        <v>0</v>
      </c>
      <c r="F128" s="16">
        <f>'Income Statement'!F11</f>
        <v>0</v>
      </c>
      <c r="G128" s="16">
        <f>'Income Statement'!G11</f>
        <v>0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33706.89</v>
      </c>
      <c r="D129" s="16">
        <f>'Balance Sheet'!D19</f>
        <v>42621.210000000006</v>
      </c>
      <c r="E129" s="16">
        <f>'Balance Sheet'!E19</f>
        <v>42307.979999999996</v>
      </c>
      <c r="F129" s="16">
        <f>'Balance Sheet'!F19</f>
        <v>43001.64</v>
      </c>
      <c r="G129" s="16">
        <f>'Balance Sheet'!G19</f>
        <v>28674.050000000003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 t="e">
        <f>ROUND(365/C128*C129, 2)</f>
        <v>#DIV/0!</v>
      </c>
      <c r="D130" s="17" t="e">
        <f t="shared" ref="D130:G130" si="26">ROUND(365/D128*D129, 2)</f>
        <v>#DIV/0!</v>
      </c>
      <c r="E130" s="17" t="e">
        <f t="shared" si="26"/>
        <v>#DIV/0!</v>
      </c>
      <c r="F130" s="17" t="e">
        <f t="shared" si="26"/>
        <v>#DIV/0!</v>
      </c>
      <c r="G130" s="17" t="e">
        <f t="shared" si="26"/>
        <v>#DIV/0!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29904.959999999999</v>
      </c>
      <c r="D133" s="16">
        <f>'Income Statement'!D5</f>
        <v>34831.17</v>
      </c>
      <c r="E133" s="16">
        <f>'Income Statement'!E5</f>
        <v>36800.129999999997</v>
      </c>
      <c r="F133" s="16">
        <f>'Income Statement'!F5</f>
        <v>39300.83</v>
      </c>
      <c r="G133" s="16">
        <f>'Income Statement'!G5</f>
        <v>41616.339999999997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3640.02</v>
      </c>
      <c r="D134" s="16">
        <f>'Balance Sheet'!D37</f>
        <v>4728.1000000000004</v>
      </c>
      <c r="E134" s="16">
        <f>'Balance Sheet'!E37</f>
        <v>5040.71</v>
      </c>
      <c r="F134" s="16">
        <f>'Balance Sheet'!F37</f>
        <v>3675.53</v>
      </c>
      <c r="G134" s="16">
        <f>'Balance Sheet'!G37</f>
        <v>9475.07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44.43</v>
      </c>
      <c r="D135" s="17">
        <f t="shared" ref="D135:G135" si="27">ROUND(365/D133*D134, 2)</f>
        <v>49.55</v>
      </c>
      <c r="E135" s="17">
        <f t="shared" si="27"/>
        <v>50</v>
      </c>
      <c r="F135" s="17">
        <f t="shared" si="27"/>
        <v>34.14</v>
      </c>
      <c r="G135" s="17">
        <f t="shared" si="27"/>
        <v>83.1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29904.959999999999</v>
      </c>
      <c r="D138" s="16">
        <f>'Income Statement'!D5</f>
        <v>34831.17</v>
      </c>
      <c r="E138" s="16">
        <f>'Income Statement'!E5</f>
        <v>36800.129999999997</v>
      </c>
      <c r="F138" s="16">
        <f>'Income Statement'!F5</f>
        <v>39300.83</v>
      </c>
      <c r="G138" s="16">
        <f>'Income Statement'!G5</f>
        <v>41616.339999999997</v>
      </c>
    </row>
    <row r="139" spans="2:12" ht="18.75" x14ac:dyDescent="0.25">
      <c r="B139" s="15" t="str">
        <f>'Balance Sheet'!B36</f>
        <v>Inventories</v>
      </c>
      <c r="C139" s="16">
        <f>'Balance Sheet'!C36</f>
        <v>1049.3499999999999</v>
      </c>
      <c r="D139" s="16">
        <f>'Balance Sheet'!D36</f>
        <v>1247.25</v>
      </c>
      <c r="E139" s="16">
        <f>'Balance Sheet'!E36</f>
        <v>1433.46</v>
      </c>
      <c r="F139" s="16">
        <f>'Balance Sheet'!F36</f>
        <v>1366.94</v>
      </c>
      <c r="G139" s="16">
        <f>'Balance Sheet'!G36</f>
        <v>1357.17</v>
      </c>
    </row>
    <row r="140" spans="2:12" ht="18.75" x14ac:dyDescent="0.25">
      <c r="B140" s="15" t="s">
        <v>192</v>
      </c>
      <c r="C140" s="16">
        <f>ROUND(365/C138*C139, 2)</f>
        <v>12.81</v>
      </c>
      <c r="D140" s="16">
        <f t="shared" ref="D140:G140" si="28">ROUND(365/D138*D139, 2)</f>
        <v>13.07</v>
      </c>
      <c r="E140" s="16">
        <f t="shared" si="28"/>
        <v>14.22</v>
      </c>
      <c r="F140" s="16">
        <f t="shared" si="28"/>
        <v>12.7</v>
      </c>
      <c r="G140" s="16">
        <f t="shared" si="28"/>
        <v>11.9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0</v>
      </c>
      <c r="D141" s="16">
        <f>'Income Statement'!D11</f>
        <v>0</v>
      </c>
      <c r="E141" s="16">
        <f>'Income Statement'!E11</f>
        <v>0</v>
      </c>
      <c r="F141" s="16">
        <f>'Income Statement'!F11</f>
        <v>0</v>
      </c>
      <c r="G141" s="16">
        <f>'Income Statement'!G11</f>
        <v>0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33706.89</v>
      </c>
      <c r="D142" s="16">
        <f>'Balance Sheet'!D19</f>
        <v>42621.210000000006</v>
      </c>
      <c r="E142" s="16">
        <f>'Balance Sheet'!E19</f>
        <v>42307.979999999996</v>
      </c>
      <c r="F142" s="16">
        <f>'Balance Sheet'!F19</f>
        <v>43001.64</v>
      </c>
      <c r="G142" s="16">
        <f>'Balance Sheet'!G19</f>
        <v>28674.050000000003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 t="e">
        <f>ROUND(365/C141*C142, 2)</f>
        <v>#DIV/0!</v>
      </c>
      <c r="D143" s="16" t="e">
        <f t="shared" ref="D143:G143" si="29">ROUND(365/D141*D142, 2)</f>
        <v>#DIV/0!</v>
      </c>
      <c r="E143" s="16" t="e">
        <f t="shared" si="29"/>
        <v>#DIV/0!</v>
      </c>
      <c r="F143" s="16" t="e">
        <f t="shared" si="29"/>
        <v>#DIV/0!</v>
      </c>
      <c r="G143" s="16" t="e">
        <f t="shared" si="29"/>
        <v>#DIV/0!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 t="e">
        <f>ROUND(C143+C140, 2)</f>
        <v>#DIV/0!</v>
      </c>
      <c r="D144" s="28" t="e">
        <f t="shared" ref="D144:G144" si="30">ROUND(D143+D140, 2)</f>
        <v>#DIV/0!</v>
      </c>
      <c r="E144" s="28" t="e">
        <f t="shared" si="30"/>
        <v>#DIV/0!</v>
      </c>
      <c r="F144" s="28" t="e">
        <f t="shared" si="30"/>
        <v>#DIV/0!</v>
      </c>
      <c r="G144" s="28" t="e">
        <f t="shared" si="30"/>
        <v>#DIV/0!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29904.959999999999</v>
      </c>
      <c r="D147" s="16">
        <f>'Income Statement'!D5</f>
        <v>34831.17</v>
      </c>
      <c r="E147" s="16">
        <f>'Income Statement'!E5</f>
        <v>36800.129999999997</v>
      </c>
      <c r="F147" s="16">
        <f>'Income Statement'!F5</f>
        <v>39300.83</v>
      </c>
      <c r="G147" s="16">
        <f>'Income Statement'!G5</f>
        <v>41616.339999999997</v>
      </c>
    </row>
    <row r="148" spans="2:12" ht="18.75" x14ac:dyDescent="0.25">
      <c r="B148" s="15" t="str">
        <f>'Balance Sheet'!B36</f>
        <v>Inventories</v>
      </c>
      <c r="C148" s="16">
        <f>'Balance Sheet'!C36</f>
        <v>1049.3499999999999</v>
      </c>
      <c r="D148" s="16">
        <f>'Balance Sheet'!D36</f>
        <v>1247.25</v>
      </c>
      <c r="E148" s="16">
        <f>'Balance Sheet'!E36</f>
        <v>1433.46</v>
      </c>
      <c r="F148" s="16">
        <f>'Balance Sheet'!F36</f>
        <v>1366.94</v>
      </c>
      <c r="G148" s="16">
        <f>'Balance Sheet'!G36</f>
        <v>1357.17</v>
      </c>
    </row>
    <row r="149" spans="2:12" ht="18.75" x14ac:dyDescent="0.25">
      <c r="B149" s="15" t="s">
        <v>192</v>
      </c>
      <c r="C149" s="16">
        <f>ROUND(365/C147*C148, 2)</f>
        <v>12.81</v>
      </c>
      <c r="D149" s="16">
        <f t="shared" ref="D149:G149" si="31">ROUND(365/D147*D148, 2)</f>
        <v>13.07</v>
      </c>
      <c r="E149" s="16">
        <f t="shared" si="31"/>
        <v>14.22</v>
      </c>
      <c r="F149" s="16">
        <f t="shared" si="31"/>
        <v>12.7</v>
      </c>
      <c r="G149" s="16">
        <f t="shared" si="31"/>
        <v>11.9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0</v>
      </c>
      <c r="D150" s="16">
        <f>'Income Statement'!D11</f>
        <v>0</v>
      </c>
      <c r="E150" s="16">
        <f>'Income Statement'!E11</f>
        <v>0</v>
      </c>
      <c r="F150" s="16">
        <f>'Income Statement'!F11</f>
        <v>0</v>
      </c>
      <c r="G150" s="16">
        <f>'Income Statement'!G11</f>
        <v>0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33706.89</v>
      </c>
      <c r="D151" s="16">
        <f>'Balance Sheet'!D19</f>
        <v>42621.210000000006</v>
      </c>
      <c r="E151" s="16">
        <f>'Balance Sheet'!E19</f>
        <v>42307.979999999996</v>
      </c>
      <c r="F151" s="16">
        <f>'Balance Sheet'!F19</f>
        <v>43001.64</v>
      </c>
      <c r="G151" s="16">
        <f>'Balance Sheet'!G19</f>
        <v>28674.050000000003</v>
      </c>
    </row>
    <row r="152" spans="2:12" ht="18.75" x14ac:dyDescent="0.25">
      <c r="B152" s="15" t="s">
        <v>194</v>
      </c>
      <c r="C152" s="16" t="e">
        <f>ROUND(365/C150*C151, 2)</f>
        <v>#DIV/0!</v>
      </c>
      <c r="D152" s="16" t="e">
        <f t="shared" ref="D152:G152" si="32">ROUND(365/D150*D151, 2)</f>
        <v>#DIV/0!</v>
      </c>
      <c r="E152" s="16" t="e">
        <f t="shared" si="32"/>
        <v>#DIV/0!</v>
      </c>
      <c r="F152" s="16" t="e">
        <f t="shared" si="32"/>
        <v>#DIV/0!</v>
      </c>
      <c r="G152" s="16" t="e">
        <f t="shared" si="32"/>
        <v>#DIV/0!</v>
      </c>
    </row>
    <row r="153" spans="2:12" ht="18.75" x14ac:dyDescent="0.25">
      <c r="B153" s="15" t="s">
        <v>200</v>
      </c>
      <c r="C153" s="16" t="e">
        <f>ROUND(C152+C149, 2)</f>
        <v>#DIV/0!</v>
      </c>
      <c r="D153" s="16" t="e">
        <f t="shared" ref="D153:G153" si="33">ROUND(D152+D149, 2)</f>
        <v>#DIV/0!</v>
      </c>
      <c r="E153" s="16" t="e">
        <f t="shared" si="33"/>
        <v>#DIV/0!</v>
      </c>
      <c r="F153" s="16" t="e">
        <f t="shared" si="33"/>
        <v>#DIV/0!</v>
      </c>
      <c r="G153" s="16" t="e">
        <f t="shared" si="33"/>
        <v>#DIV/0!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0</v>
      </c>
      <c r="D154" s="16">
        <f>'Income Statement'!D11</f>
        <v>0</v>
      </c>
      <c r="E154" s="16">
        <f>'Income Statement'!E11</f>
        <v>0</v>
      </c>
      <c r="F154" s="16">
        <f>'Income Statement'!F11</f>
        <v>0</v>
      </c>
      <c r="G154" s="16">
        <f>'Income Statement'!G11</f>
        <v>0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33706.89</v>
      </c>
      <c r="D155" s="16">
        <f>'Balance Sheet'!D19</f>
        <v>42621.210000000006</v>
      </c>
      <c r="E155" s="16">
        <f>'Balance Sheet'!E19</f>
        <v>42307.979999999996</v>
      </c>
      <c r="F155" s="16">
        <f>'Balance Sheet'!F19</f>
        <v>43001.64</v>
      </c>
      <c r="G155" s="16">
        <f>'Balance Sheet'!G19</f>
        <v>28674.050000000003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 t="e">
        <f>ROUND(365/C154*C155, 2)</f>
        <v>#DIV/0!</v>
      </c>
      <c r="D156" s="16" t="e">
        <f t="shared" ref="D156:G156" si="34">ROUND(365/D154*D155, 2)</f>
        <v>#DIV/0!</v>
      </c>
      <c r="E156" s="16" t="e">
        <f t="shared" si="34"/>
        <v>#DIV/0!</v>
      </c>
      <c r="F156" s="16" t="e">
        <f t="shared" si="34"/>
        <v>#DIV/0!</v>
      </c>
      <c r="G156" s="16" t="e">
        <f t="shared" si="34"/>
        <v>#DIV/0!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 t="e">
        <f>ROUND(C156-C153, 2)</f>
        <v>#DIV/0!</v>
      </c>
      <c r="D157" s="28" t="e">
        <f t="shared" ref="D157:G157" si="35">ROUND(D156-D153, 2)</f>
        <v>#DIV/0!</v>
      </c>
      <c r="E157" s="28" t="e">
        <f t="shared" si="35"/>
        <v>#DIV/0!</v>
      </c>
      <c r="F157" s="28" t="e">
        <f t="shared" si="35"/>
        <v>#DIV/0!</v>
      </c>
      <c r="G157" s="28" t="e">
        <f t="shared" si="35"/>
        <v>#DIV/0!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0A6A50C3-A6BB-4178-8141-F98E8F15DE5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0F55FCBD-888C-4275-83E5-B1BD40ABF71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C228DA03-4E09-4CD0-8EEE-BECB7F5FC4D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39808CC9-9EFD-46C8-92D8-CCE6E8B05BB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DC06C35D-AB51-4729-9310-083C5977EE1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CBFFE42C-0FD3-4329-952D-E9BAB0FEA51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F70946B9-C9E2-4B81-9CEE-ED76A8B8393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6FA7DD5A-F0DD-4C4E-BAC6-E1BDC717744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DD365272-134E-469D-9A13-07924277B2A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AECB48BC-6F80-4AEE-8291-42CA987E114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BD46785E-66E4-4BB6-88CA-27B70F311C4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BE2B93D4-7C0D-4B5A-8798-3BAF60A84A8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817E51AD-CE87-483C-86D2-036AEDB6AD5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5F1E9B5B-7898-435A-9FBA-D7623031C12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EFA29C78-C533-4F7D-B0C7-618429FDEA0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697A5CDB-336D-478E-8C72-3131AFE0487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081F930E-6413-4FA8-91FB-D37EADF51E2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3C0AD1B6-82F4-4DE9-9C1C-A156E8D2287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B2D36DC4-C6BB-465A-9CE6-01534551C37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6AAB76DE-C5A4-4582-9626-22F0D70F42A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AD7CE80E-4B3D-49B9-B5E6-BEFED356322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1E909012-CE6E-4F6B-A45A-75BB10AD0C7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32B56EB6-5D60-40AA-B463-B22C81F91F2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41E968E1-151C-44E6-8A59-2B6BD19656A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05FF2CD9-E904-4D8A-A37D-C6A16E71097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59207A9C-5258-47FB-8608-C94D98AE0D6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290580C3-C58A-442A-9E41-890E9AE1BD7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0722C-9EDB-413D-B3E1-67F59A9CA10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8007.4</v>
      </c>
      <c r="D6" s="16">
        <f>'Income Statement'!D27</f>
        <v>9676.7499999999945</v>
      </c>
      <c r="E6" s="16">
        <f>'Income Statement'!E27</f>
        <v>9960.8599999999915</v>
      </c>
      <c r="F6" s="16">
        <f>'Income Statement'!F27</f>
        <v>11482.8</v>
      </c>
      <c r="G6" s="16">
        <f>'Income Statement'!G27</f>
        <v>16745.599999999991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500.46249999999998</v>
      </c>
      <c r="D7" s="16">
        <f>'Income Statement'!D35</f>
        <v>509.30263157894706</v>
      </c>
      <c r="E7" s="16">
        <f>'Income Statement'!E35</f>
        <v>474.32666666666626</v>
      </c>
      <c r="F7" s="16">
        <f>'Income Statement'!F35</f>
        <v>499.25217391304346</v>
      </c>
      <c r="G7" s="16">
        <f>'Income Statement'!G35</f>
        <v>697.73333333333301</v>
      </c>
    </row>
    <row r="8" spans="2:7" ht="18.75" x14ac:dyDescent="0.25">
      <c r="B8" s="17" t="s">
        <v>146</v>
      </c>
      <c r="C8" s="17">
        <f>ROUND(C6/C7, 2)</f>
        <v>16</v>
      </c>
      <c r="D8" s="17">
        <f t="shared" ref="D8:G8" si="0">ROUND(D6/D7, 2)</f>
        <v>19</v>
      </c>
      <c r="E8" s="17">
        <f t="shared" si="0"/>
        <v>21</v>
      </c>
      <c r="F8" s="17">
        <f t="shared" si="0"/>
        <v>23</v>
      </c>
      <c r="G8" s="17">
        <f t="shared" si="0"/>
        <v>24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0A821-7C75-4076-B2CD-6E27FCCE1DB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3034.33</v>
      </c>
      <c r="D6" s="16">
        <f>'Income Statement'!D28</f>
        <v>4514.87</v>
      </c>
      <c r="E6" s="16">
        <f>'Income Statement'!E28</f>
        <v>3118.02</v>
      </c>
      <c r="F6" s="16">
        <f>'Income Statement'!F28</f>
        <v>6821.99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500.46249999999998</v>
      </c>
      <c r="D7" s="16">
        <f>'Income Statement'!D35</f>
        <v>509.30263157894706</v>
      </c>
      <c r="E7" s="16">
        <f>'Income Statement'!E35</f>
        <v>474.32666666666626</v>
      </c>
      <c r="F7" s="16">
        <f>'Income Statement'!F35</f>
        <v>499.25217391304346</v>
      </c>
      <c r="G7" s="16">
        <f>'Income Statement'!G35</f>
        <v>697.73333333333301</v>
      </c>
    </row>
    <row r="8" spans="2:7" ht="18.75" x14ac:dyDescent="0.25">
      <c r="B8" s="17" t="s">
        <v>148</v>
      </c>
      <c r="C8" s="17">
        <f>ROUND(C6/C7, 2)</f>
        <v>6.06</v>
      </c>
      <c r="D8" s="17">
        <f t="shared" ref="D8:G8" si="0">ROUND(D6/D7, 2)</f>
        <v>8.86</v>
      </c>
      <c r="E8" s="17">
        <f t="shared" si="0"/>
        <v>6.57</v>
      </c>
      <c r="F8" s="17">
        <f t="shared" si="0"/>
        <v>13.66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B5FDC-FF65-4313-AA2E-A4F124F7523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54425.990000000005</v>
      </c>
      <c r="D6" s="16">
        <f>'Balance Sheet'!D9</f>
        <v>58647.369999999995</v>
      </c>
      <c r="E6" s="16">
        <f>'Balance Sheet'!E9</f>
        <v>64852.26999999999</v>
      </c>
      <c r="F6" s="16">
        <f>'Balance Sheet'!F9</f>
        <v>69513.079999999987</v>
      </c>
      <c r="G6" s="16">
        <f>'Balance Sheet'!G9</f>
        <v>88002.539999999979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500.46249999999998</v>
      </c>
      <c r="D7" s="16">
        <f>'Income Statement'!D35</f>
        <v>509.30263157894706</v>
      </c>
      <c r="E7" s="16">
        <f>'Income Statement'!E35</f>
        <v>474.32666666666626</v>
      </c>
      <c r="F7" s="16">
        <f>'Income Statement'!F35</f>
        <v>499.25217391304346</v>
      </c>
      <c r="G7" s="16">
        <f>'Income Statement'!G35</f>
        <v>697.73333333333301</v>
      </c>
    </row>
    <row r="8" spans="2:7" ht="18.75" x14ac:dyDescent="0.25">
      <c r="B8" s="17" t="s">
        <v>150</v>
      </c>
      <c r="C8" s="17">
        <f>ROUND(C6/C7, 2)</f>
        <v>108.75</v>
      </c>
      <c r="D8" s="17">
        <f t="shared" ref="D8:G8" si="0">ROUND(D6/D7, 2)</f>
        <v>115.15</v>
      </c>
      <c r="E8" s="17">
        <f t="shared" si="0"/>
        <v>136.72</v>
      </c>
      <c r="F8" s="17">
        <f t="shared" si="0"/>
        <v>139.22999999999999</v>
      </c>
      <c r="G8" s="17">
        <f t="shared" si="0"/>
        <v>126.13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2022-07-03T10:52:08Z</dcterms:created>
  <dcterms:modified xsi:type="dcterms:W3CDTF">2022-07-04T07:14:39Z</dcterms:modified>
</cp:coreProperties>
</file>