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5711A2C6-69EE-46F0-A188-D142D424ADB1}" xr6:coauthVersionLast="47" xr6:coauthVersionMax="47" xr10:uidLastSave="{00000000-0000-0000-0000-000000000000}"/>
  <bookViews>
    <workbookView xWindow="-120" yWindow="-120" windowWidth="20730" windowHeight="11160" firstSheet="42" activeTab="44" xr2:uid="{A9B02987-B7DF-48B4-95E0-00C1B66C2E53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G8" i="4"/>
  <c r="G9" i="4" s="1"/>
  <c r="G21" i="4" s="1"/>
  <c r="F9" i="4"/>
  <c r="F21" i="4" s="1"/>
  <c r="F38" i="4" l="1"/>
  <c r="E39" i="4"/>
  <c r="E40" i="4" s="1"/>
  <c r="G38" i="4" l="1"/>
  <c r="G39" i="4" s="1"/>
  <c r="G40" i="4" s="1"/>
  <c r="F39" i="4"/>
  <c r="F40" i="4" s="1"/>
</calcChain>
</file>

<file path=xl/sharedStrings.xml><?xml version="1.0" encoding="utf-8"?>
<sst xmlns="http://schemas.openxmlformats.org/spreadsheetml/2006/main" count="490" uniqueCount="203">
  <si>
    <t>Balance Sheet of Wockhardt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</si>
  <si>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</si>
  <si>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</si>
  <si>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</si>
  <si>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</si>
  <si>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</si>
  <si>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</si>
  <si>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</si>
  <si>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</si>
  <si>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</si>
  <si>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</si>
  <si>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</si>
  <si>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</si>
  <si>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</si>
  <si>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</si>
  <si>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</si>
  <si>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</si>
  <si>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</si>
  <si>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</si>
  <si>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</si>
  <si>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</si>
  <si>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</si>
  <si>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</si>
  <si>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</si>
  <si>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</si>
  <si>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</si>
  <si>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</si>
  <si>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</si>
  <si>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</si>
  <si>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</si>
  <si>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</si>
  <si>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</si>
  <si>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</si>
  <si>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</si>
  <si>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</si>
  <si>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</si>
  <si>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</si>
  <si>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</si>
  <si>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</si>
  <si>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</si>
  <si>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</si>
  <si>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</si>
  <si>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</si>
  <si>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</si>
  <si>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</si>
  <si>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</si>
  <si>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</si>
  <si>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</si>
  <si>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</si>
  <si>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</si>
  <si>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</si>
  <si>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</si>
  <si>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</si>
  <si>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</si>
  <si>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</si>
  <si>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Wockhardt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</si>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</sst>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90-4A64-B208-4867BB13E4E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190-4A64-B208-4867BB13E4E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190-4A64-B208-4867BB13E4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-55</c:v>
                </c:pt>
                <c:pt idx="1">
                  <c:v>-18</c:v>
                </c:pt>
                <c:pt idx="2">
                  <c:v>-6</c:v>
                </c:pt>
                <c:pt idx="3">
                  <c:v>62</c:v>
                </c:pt>
                <c:pt idx="4">
                  <c:v>-20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90-4A64-B208-4867BB13E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03248"/>
        <c:axId val="452504232"/>
      </c:lineChart>
      <c:catAx>
        <c:axId val="45250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04232"/>
        <c:crosses val="autoZero"/>
        <c:auto val="0"/>
        <c:lblAlgn val="ctr"/>
        <c:lblOffset val="100"/>
        <c:noMultiLvlLbl val="0"/>
      </c:catAx>
      <c:valAx>
        <c:axId val="452504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503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577-4256-9046-8C649ACA466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577-4256-9046-8C649ACA46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0.04</c:v>
                </c:pt>
                <c:pt idx="1">
                  <c:v>0.1</c:v>
                </c:pt>
                <c:pt idx="2">
                  <c:v>0.05</c:v>
                </c:pt>
                <c:pt idx="3">
                  <c:v>0.14000000000000001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77-4256-9046-8C649ACA4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454824"/>
        <c:axId val="547455152"/>
      </c:lineChart>
      <c:catAx>
        <c:axId val="547454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455152"/>
        <c:crosses val="autoZero"/>
        <c:auto val="0"/>
        <c:lblAlgn val="ctr"/>
        <c:lblOffset val="100"/>
        <c:noMultiLvlLbl val="0"/>
      </c:catAx>
      <c:valAx>
        <c:axId val="54745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74548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2DE-4D50-B81F-CDAA08CA50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0.93</c:v>
                </c:pt>
                <c:pt idx="1">
                  <c:v>0.63</c:v>
                </c:pt>
                <c:pt idx="2">
                  <c:v>0.54</c:v>
                </c:pt>
                <c:pt idx="3">
                  <c:v>0.28000000000000003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2DE-4D50-B81F-CDAA08CA50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051184"/>
        <c:axId val="547049544"/>
      </c:lineChart>
      <c:catAx>
        <c:axId val="547051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049544"/>
        <c:crosses val="autoZero"/>
        <c:auto val="0"/>
        <c:lblAlgn val="ctr"/>
        <c:lblOffset val="100"/>
        <c:noMultiLvlLbl val="0"/>
      </c:catAx>
      <c:valAx>
        <c:axId val="547049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051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27D-4406-B6B6-7BC1DE4CED3B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27D-4406-B6B6-7BC1DE4CED3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27D-4406-B6B6-7BC1DE4CED3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1.56</c:v>
                </c:pt>
                <c:pt idx="1">
                  <c:v>2.36</c:v>
                </c:pt>
                <c:pt idx="2">
                  <c:v>2.19</c:v>
                </c:pt>
                <c:pt idx="3">
                  <c:v>3.15</c:v>
                </c:pt>
                <c:pt idx="4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7D-4406-B6B6-7BC1DE4CED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7024"/>
        <c:axId val="364042760"/>
      </c:lineChart>
      <c:catAx>
        <c:axId val="36404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7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F85-4F46-92B6-6E056F307AB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F85-4F46-92B6-6E056F307AB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F85-4F46-92B6-6E056F307A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1.2</c:v>
                </c:pt>
                <c:pt idx="1">
                  <c:v>2.0099999999999998</c:v>
                </c:pt>
                <c:pt idx="2">
                  <c:v>1.95</c:v>
                </c:pt>
                <c:pt idx="3">
                  <c:v>2.82</c:v>
                </c:pt>
                <c:pt idx="4">
                  <c:v>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F85-4F46-92B6-6E056F307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986688"/>
        <c:axId val="453989968"/>
      </c:lineChart>
      <c:catAx>
        <c:axId val="4539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9968"/>
        <c:crosses val="autoZero"/>
        <c:auto val="0"/>
        <c:lblAlgn val="ctr"/>
        <c:lblOffset val="100"/>
        <c:noMultiLvlLbl val="0"/>
      </c:catAx>
      <c:valAx>
        <c:axId val="453989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9866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A5D-429A-99B2-16D72F38E1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3.47</c:v>
                </c:pt>
                <c:pt idx="1">
                  <c:v>3.42</c:v>
                </c:pt>
                <c:pt idx="2">
                  <c:v>1.83</c:v>
                </c:pt>
                <c:pt idx="3">
                  <c:v>1.07</c:v>
                </c:pt>
                <c:pt idx="4">
                  <c:v>2.4300000000000002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A5D-429A-99B2-16D72F38E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988984"/>
        <c:axId val="453987672"/>
      </c:lineChart>
      <c:catAx>
        <c:axId val="453988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7672"/>
        <c:crosses val="autoZero"/>
        <c:auto val="0"/>
        <c:lblAlgn val="ctr"/>
        <c:lblOffset val="100"/>
        <c:noMultiLvlLbl val="0"/>
      </c:catAx>
      <c:valAx>
        <c:axId val="453987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988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35-4EAA-A059-BE32ED746F1B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35-4EAA-A059-BE32ED746F1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0.22</c:v>
                </c:pt>
                <c:pt idx="1">
                  <c:v>0.21</c:v>
                </c:pt>
                <c:pt idx="2">
                  <c:v>0.22</c:v>
                </c:pt>
                <c:pt idx="3">
                  <c:v>0.25</c:v>
                </c:pt>
                <c:pt idx="4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35-4EAA-A059-BE32ED746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995240"/>
        <c:axId val="452994912"/>
      </c:lineChart>
      <c:catAx>
        <c:axId val="45299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994912"/>
        <c:crosses val="autoZero"/>
        <c:auto val="0"/>
        <c:lblAlgn val="ctr"/>
        <c:lblOffset val="100"/>
        <c:noMultiLvlLbl val="0"/>
      </c:catAx>
      <c:valAx>
        <c:axId val="452994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995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CD3-4375-9F8B-6E3099ED941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CD3-4375-9F8B-6E3099ED941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CD3-4375-9F8B-6E3099ED94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455.34</c:v>
                </c:pt>
                <c:pt idx="1">
                  <c:v>1132.28</c:v>
                </c:pt>
                <c:pt idx="2">
                  <c:v>2125.59</c:v>
                </c:pt>
                <c:pt idx="3">
                  <c:v>2599.0300000000002</c:v>
                </c:pt>
                <c:pt idx="4">
                  <c:v>2595.41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D3-4375-9F8B-6E3099ED94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549472"/>
        <c:axId val="546549800"/>
      </c:lineChart>
      <c:catAx>
        <c:axId val="546549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549800"/>
        <c:crosses val="autoZero"/>
        <c:auto val="0"/>
        <c:lblAlgn val="ctr"/>
        <c:lblOffset val="100"/>
        <c:noMultiLvlLbl val="0"/>
      </c:catAx>
      <c:valAx>
        <c:axId val="546549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549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E62-4810-A36B-51B5372A05B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E62-4810-A36B-51B5372A05B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E62-4810-A36B-51B5372A05B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1082.25</c:v>
                </c:pt>
                <c:pt idx="1">
                  <c:v>2649.78</c:v>
                </c:pt>
                <c:pt idx="2">
                  <c:v>3620.6</c:v>
                </c:pt>
                <c:pt idx="3">
                  <c:v>4859.34</c:v>
                </c:pt>
                <c:pt idx="4">
                  <c:v>4351.76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E62-4810-A36B-51B5372A0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993600"/>
        <c:axId val="453214824"/>
      </c:lineChart>
      <c:catAx>
        <c:axId val="452993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4824"/>
        <c:crosses val="autoZero"/>
        <c:auto val="0"/>
        <c:lblAlgn val="ctr"/>
        <c:lblOffset val="100"/>
        <c:noMultiLvlLbl val="0"/>
      </c:catAx>
      <c:valAx>
        <c:axId val="453214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9936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833-4102-8AFC-8A46EAAD359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833-4102-8AFC-8A46EAAD35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0.48</c:v>
                </c:pt>
                <c:pt idx="1">
                  <c:v>0.49</c:v>
                </c:pt>
                <c:pt idx="2">
                  <c:v>0.3</c:v>
                </c:pt>
                <c:pt idx="3">
                  <c:v>0.27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833-4102-8AFC-8A46EAAD35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217120"/>
        <c:axId val="453216464"/>
      </c:lineChart>
      <c:catAx>
        <c:axId val="45321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6464"/>
        <c:crosses val="autoZero"/>
        <c:auto val="0"/>
        <c:lblAlgn val="ctr"/>
        <c:lblOffset val="100"/>
        <c:noMultiLvlLbl val="0"/>
      </c:catAx>
      <c:valAx>
        <c:axId val="453216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217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681-41C1-97F5-385F5308D2B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681-41C1-97F5-385F5308D2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4.58</c:v>
                </c:pt>
                <c:pt idx="1">
                  <c:v>5.05</c:v>
                </c:pt>
                <c:pt idx="2">
                  <c:v>4.1100000000000003</c:v>
                </c:pt>
                <c:pt idx="3">
                  <c:v>3.38</c:v>
                </c:pt>
                <c:pt idx="4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81-41C1-97F5-385F5308D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622784"/>
        <c:axId val="547623440"/>
      </c:lineChart>
      <c:catAx>
        <c:axId val="547622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623440"/>
        <c:crosses val="autoZero"/>
        <c:auto val="0"/>
        <c:lblAlgn val="ctr"/>
        <c:lblOffset val="100"/>
        <c:noMultiLvlLbl val="0"/>
      </c:catAx>
      <c:valAx>
        <c:axId val="547623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6227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8D-4591-98CB-223839AB787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B8D-4591-98CB-223839AB787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B8D-4591-98CB-223839AB787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B8D-4591-98CB-223839AB78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8D-4591-98CB-223839AB7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319496"/>
        <c:axId val="452318184"/>
      </c:lineChart>
      <c:catAx>
        <c:axId val="452319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8184"/>
        <c:crosses val="autoZero"/>
        <c:auto val="0"/>
        <c:lblAlgn val="ctr"/>
        <c:lblOffset val="100"/>
        <c:noMultiLvlLbl val="0"/>
      </c:catAx>
      <c:valAx>
        <c:axId val="452318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319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27B-435A-8B2A-5566016D353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27B-435A-8B2A-5566016D35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4.07</c:v>
                </c:pt>
                <c:pt idx="1">
                  <c:v>3.28</c:v>
                </c:pt>
                <c:pt idx="2">
                  <c:v>2.2799999999999998</c:v>
                </c:pt>
                <c:pt idx="3">
                  <c:v>2.94</c:v>
                </c:pt>
                <c:pt idx="4">
                  <c:v>3.52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7B-435A-8B2A-5566016D3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351248"/>
        <c:axId val="453348296"/>
      </c:lineChart>
      <c:catAx>
        <c:axId val="45335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348296"/>
        <c:crosses val="autoZero"/>
        <c:auto val="0"/>
        <c:lblAlgn val="ctr"/>
        <c:lblOffset val="100"/>
        <c:noMultiLvlLbl val="0"/>
      </c:catAx>
      <c:valAx>
        <c:axId val="453348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351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CBA-4CEF-8EDF-C4D0B29243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2.0099999999999998</c:v>
                </c:pt>
                <c:pt idx="1">
                  <c:v>1.95</c:v>
                </c:pt>
                <c:pt idx="2">
                  <c:v>1.1399999999999999</c:v>
                </c:pt>
                <c:pt idx="3">
                  <c:v>1.17</c:v>
                </c:pt>
                <c:pt idx="4">
                  <c:v>0.83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BA-4CEF-8EDF-C4D0B2924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349608"/>
        <c:axId val="453350264"/>
      </c:lineChart>
      <c:catAx>
        <c:axId val="45334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350264"/>
        <c:crosses val="autoZero"/>
        <c:auto val="0"/>
        <c:lblAlgn val="ctr"/>
        <c:lblOffset val="100"/>
        <c:noMultiLvlLbl val="0"/>
      </c:catAx>
      <c:valAx>
        <c:axId val="45335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349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CA5-45CD-B5B9-AF4C3AC5FCB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CA5-45CD-B5B9-AF4C3AC5FCB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0.37</c:v>
                </c:pt>
                <c:pt idx="1">
                  <c:v>0.36</c:v>
                </c:pt>
                <c:pt idx="2">
                  <c:v>0.21</c:v>
                </c:pt>
                <c:pt idx="3">
                  <c:v>0.28000000000000003</c:v>
                </c:pt>
                <c:pt idx="4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A5-45CD-B5B9-AF4C3AC5FC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93120"/>
        <c:axId val="274096520"/>
      </c:lineChart>
      <c:catAx>
        <c:axId val="43979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0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793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581-43BC-AEA4-39EA4EBD207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581-43BC-AEA4-39EA4EBD20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79.67</c:v>
                </c:pt>
                <c:pt idx="1">
                  <c:v>72.239999999999995</c:v>
                </c:pt>
                <c:pt idx="2">
                  <c:v>88.88</c:v>
                </c:pt>
                <c:pt idx="3">
                  <c:v>108.03</c:v>
                </c:pt>
                <c:pt idx="4">
                  <c:v>86.9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81-43BC-AEA4-39EA4EBD20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049648"/>
        <c:axId val="548049976"/>
      </c:lineChart>
      <c:catAx>
        <c:axId val="54804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049976"/>
        <c:crosses val="autoZero"/>
        <c:auto val="0"/>
        <c:lblAlgn val="ctr"/>
        <c:lblOffset val="100"/>
        <c:noMultiLvlLbl val="0"/>
      </c:catAx>
      <c:valAx>
        <c:axId val="548049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049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BC1-4319-A638-BBA519E1FD1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BC1-4319-A638-BBA519E1FD1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975.9</c:v>
                </c:pt>
                <c:pt idx="1">
                  <c:v>1000.85</c:v>
                </c:pt>
                <c:pt idx="2">
                  <c:v>1729.21</c:v>
                </c:pt>
                <c:pt idx="3">
                  <c:v>1291.69</c:v>
                </c:pt>
                <c:pt idx="4">
                  <c:v>1282.8699999999999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C1-4319-A638-BBA519E1FD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051288"/>
        <c:axId val="548051944"/>
      </c:lineChart>
      <c:catAx>
        <c:axId val="54805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051944"/>
        <c:crosses val="autoZero"/>
        <c:auto val="0"/>
        <c:lblAlgn val="ctr"/>
        <c:lblOffset val="100"/>
        <c:noMultiLvlLbl val="0"/>
      </c:catAx>
      <c:valAx>
        <c:axId val="548051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0512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81B-4B14-9683-40C68541C88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81B-4B14-9683-40C68541C8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89.61</c:v>
                </c:pt>
                <c:pt idx="1">
                  <c:v>111.15</c:v>
                </c:pt>
                <c:pt idx="2">
                  <c:v>160.1</c:v>
                </c:pt>
                <c:pt idx="3">
                  <c:v>124.09</c:v>
                </c:pt>
                <c:pt idx="4">
                  <c:v>103.74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1B-4B14-9683-40C68541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09848"/>
        <c:axId val="548312800"/>
      </c:lineChart>
      <c:catAx>
        <c:axId val="54830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12800"/>
        <c:crosses val="autoZero"/>
        <c:auto val="0"/>
        <c:lblAlgn val="ctr"/>
        <c:lblOffset val="100"/>
        <c:noMultiLvlLbl val="0"/>
      </c:catAx>
      <c:valAx>
        <c:axId val="548312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309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33B-49DA-9600-B098D112035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33B-49DA-9600-B098D11203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1055.57</c:v>
                </c:pt>
                <c:pt idx="1">
                  <c:v>1073.0899999999999</c:v>
                </c:pt>
                <c:pt idx="2">
                  <c:v>1818.09</c:v>
                </c:pt>
                <c:pt idx="3">
                  <c:v>1399.72</c:v>
                </c:pt>
                <c:pt idx="4">
                  <c:v>1369.77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33B-49DA-9600-B098D11203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220368"/>
        <c:axId val="548222992"/>
      </c:lineChart>
      <c:catAx>
        <c:axId val="54822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222992"/>
        <c:crosses val="autoZero"/>
        <c:auto val="0"/>
        <c:lblAlgn val="ctr"/>
        <c:lblOffset val="100"/>
        <c:noMultiLvlLbl val="0"/>
      </c:catAx>
      <c:valAx>
        <c:axId val="548222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8220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B4D-4CE2-BA48-4212004AE64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B4D-4CE2-BA48-4212004AE6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-79.67</c:v>
                </c:pt>
                <c:pt idx="1">
                  <c:v>-72.239999999999995</c:v>
                </c:pt>
                <c:pt idx="2">
                  <c:v>-88.88</c:v>
                </c:pt>
                <c:pt idx="3">
                  <c:v>-108.03</c:v>
                </c:pt>
                <c:pt idx="4">
                  <c:v>-86.9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4D-4CE2-BA48-4212004AE6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21824"/>
        <c:axId val="548322152"/>
      </c:lineChart>
      <c:catAx>
        <c:axId val="54832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83218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2852.15</c:v>
                </c:pt>
                <c:pt idx="1">
                  <c:v>3577.52</c:v>
                </c:pt>
                <c:pt idx="2">
                  <c:v>4010.37</c:v>
                </c:pt>
                <c:pt idx="3">
                  <c:v>5627.95</c:v>
                </c:pt>
                <c:pt idx="4">
                  <c:v>6020.5599999999995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B6-4494-8FA9-A05CC8AEC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8133648"/>
        <c:axId val="548134304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8162.0400000000009</c:v>
                </c:pt>
                <c:pt idx="1">
                  <c:v>8499.869999999999</c:v>
                </c:pt>
                <c:pt idx="2">
                  <c:v>9517.61</c:v>
                </c:pt>
                <c:pt idx="3">
                  <c:v>10023.879999999999</c:v>
                </c:pt>
                <c:pt idx="4">
                  <c:v>10414.56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B6-4494-8FA9-A05CC8AEC0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133648"/>
        <c:axId val="548134304"/>
      </c:lineChart>
      <c:catAx>
        <c:axId val="54813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4304"/>
        <c:crosses val="autoZero"/>
        <c:auto val="1"/>
        <c:lblAlgn val="ctr"/>
        <c:lblOffset val="100"/>
        <c:noMultiLvlLbl val="0"/>
      </c:catAx>
      <c:valAx>
        <c:axId val="548134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3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1035.3300000000004</c:v>
                </c:pt>
                <c:pt idx="1">
                  <c:v>1072.6199999999999</c:v>
                </c:pt>
                <c:pt idx="2">
                  <c:v>728.61000000000013</c:v>
                </c:pt>
                <c:pt idx="3">
                  <c:v>513.21</c:v>
                </c:pt>
                <c:pt idx="4">
                  <c:v>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54-4382-A4C5-B1FEDF5D8716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885.80000000000041</c:v>
                </c:pt>
                <c:pt idx="1">
                  <c:v>906.57999999999993</c:v>
                </c:pt>
                <c:pt idx="2">
                  <c:v>504.47000000000014</c:v>
                </c:pt>
                <c:pt idx="3">
                  <c:v>267.19000000000005</c:v>
                </c:pt>
                <c:pt idx="4">
                  <c:v>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C54-4382-A4C5-B1FEDF5D87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217448"/>
        <c:axId val="549433408"/>
      </c:barChart>
      <c:catAx>
        <c:axId val="453217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33408"/>
        <c:crosses val="autoZero"/>
        <c:auto val="1"/>
        <c:lblAlgn val="ctr"/>
        <c:lblOffset val="100"/>
        <c:noMultiLvlLbl val="0"/>
      </c:catAx>
      <c:valAx>
        <c:axId val="549433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74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23C-49FE-98B2-29C9548526D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23C-49FE-98B2-29C9548526D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23C-49FE-98B2-29C9548526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-636.59</c:v>
                </c:pt>
                <c:pt idx="1">
                  <c:v>-88.78</c:v>
                </c:pt>
                <c:pt idx="2">
                  <c:v>-55.59</c:v>
                </c:pt>
                <c:pt idx="3">
                  <c:v>215.72</c:v>
                </c:pt>
                <c:pt idx="4">
                  <c:v>-320.24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23C-49FE-98B2-29C9548526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5512"/>
        <c:axId val="450787152"/>
      </c:lineChart>
      <c:catAx>
        <c:axId val="450785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7152"/>
        <c:crosses val="autoZero"/>
        <c:auto val="0"/>
        <c:lblAlgn val="ctr"/>
        <c:lblOffset val="100"/>
        <c:noMultiLvlLbl val="0"/>
      </c:catAx>
      <c:valAx>
        <c:axId val="45078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5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3627.8100000000004</c:v>
                </c:pt>
                <c:pt idx="1">
                  <c:v>5528.37</c:v>
                </c:pt>
                <c:pt idx="2">
                  <c:v>6443.7800000000007</c:v>
                </c:pt>
                <c:pt idx="3">
                  <c:v>7617.73</c:v>
                </c:pt>
                <c:pt idx="4">
                  <c:v>7384.76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8-40B9-8D51-7DB7B1F2B2D0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2319.5100000000002</c:v>
                </c:pt>
                <c:pt idx="1">
                  <c:v>2342.2199999999998</c:v>
                </c:pt>
                <c:pt idx="2">
                  <c:v>2945.44</c:v>
                </c:pt>
                <c:pt idx="3">
                  <c:v>2415.0299999999997</c:v>
                </c:pt>
                <c:pt idx="4">
                  <c:v>2151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48-40B9-8D51-7DB7B1F2B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8221680"/>
        <c:axId val="548222336"/>
      </c:barChart>
      <c:catAx>
        <c:axId val="548221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222336"/>
        <c:crosses val="autoZero"/>
        <c:auto val="1"/>
        <c:lblAlgn val="ctr"/>
        <c:lblOffset val="100"/>
        <c:noMultiLvlLbl val="0"/>
      </c:catAx>
      <c:valAx>
        <c:axId val="548222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221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64.89</c:v>
                </c:pt>
                <c:pt idx="1">
                  <c:v>53.48</c:v>
                </c:pt>
                <c:pt idx="2">
                  <c:v>45.6</c:v>
                </c:pt>
                <c:pt idx="3">
                  <c:v>84.37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327-4324-99A3-9597E6EA4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135944"/>
        <c:axId val="548136600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44.58</c:v>
                </c:pt>
                <c:pt idx="1">
                  <c:v>41.93</c:v>
                </c:pt>
                <c:pt idx="2">
                  <c:v>117.28</c:v>
                </c:pt>
                <c:pt idx="3">
                  <c:v>59.79</c:v>
                </c:pt>
                <c:pt idx="4">
                  <c:v>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327-4324-99A3-9597E6EA4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541696"/>
        <c:axId val="549539400"/>
      </c:lineChart>
      <c:catAx>
        <c:axId val="548135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136600"/>
        <c:crosses val="autoZero"/>
        <c:auto val="1"/>
        <c:lblAlgn val="ctr"/>
        <c:lblOffset val="100"/>
        <c:noMultiLvlLbl val="0"/>
      </c:catAx>
      <c:valAx>
        <c:axId val="548136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5944"/>
        <c:crosses val="autoZero"/>
        <c:crossBetween val="between"/>
      </c:valAx>
      <c:valAx>
        <c:axId val="5495394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9541696"/>
        <c:crosses val="max"/>
        <c:crossBetween val="between"/>
      </c:valAx>
      <c:catAx>
        <c:axId val="549541696"/>
        <c:scaling>
          <c:orientation val="minMax"/>
        </c:scaling>
        <c:delete val="1"/>
        <c:axPos val="b"/>
        <c:majorTickMark val="out"/>
        <c:minorTickMark val="none"/>
        <c:tickLblPos val="nextTo"/>
        <c:crossAx val="54953940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867.53</c:v>
                </c:pt>
                <c:pt idx="1">
                  <c:v>854.18</c:v>
                </c:pt>
                <c:pt idx="2">
                  <c:v>621.72</c:v>
                </c:pt>
                <c:pt idx="3">
                  <c:v>682.43</c:v>
                </c:pt>
                <c:pt idx="4">
                  <c:v>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C6-413F-ADAE-9F907819A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89312"/>
        <c:axId val="548049320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C6-413F-ADAE-9F907819A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309520"/>
        <c:axId val="549417472"/>
      </c:lineChart>
      <c:catAx>
        <c:axId val="45398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8049320"/>
        <c:crosses val="autoZero"/>
        <c:auto val="1"/>
        <c:lblAlgn val="ctr"/>
        <c:lblOffset val="100"/>
        <c:noMultiLvlLbl val="0"/>
      </c:catAx>
      <c:valAx>
        <c:axId val="548049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9312"/>
        <c:crosses val="autoZero"/>
        <c:crossBetween val="between"/>
      </c:valAx>
      <c:valAx>
        <c:axId val="5494174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8309520"/>
        <c:crosses val="max"/>
        <c:crossBetween val="between"/>
      </c:valAx>
      <c:catAx>
        <c:axId val="548309520"/>
        <c:scaling>
          <c:orientation val="minMax"/>
        </c:scaling>
        <c:delete val="1"/>
        <c:axPos val="b"/>
        <c:majorTickMark val="out"/>
        <c:minorTickMark val="none"/>
        <c:tickLblPos val="nextTo"/>
        <c:crossAx val="54941747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3920.17</c:v>
                </c:pt>
                <c:pt idx="1">
                  <c:v>4139.9399999999996</c:v>
                </c:pt>
                <c:pt idx="2">
                  <c:v>2833.03</c:v>
                </c:pt>
                <c:pt idx="3">
                  <c:v>2699.21</c:v>
                </c:pt>
                <c:pt idx="4">
                  <c:v>3230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A9-42DC-BE4A-7CD51B33B547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4040.4</c:v>
                </c:pt>
                <c:pt idx="1">
                  <c:v>4160.96</c:v>
                </c:pt>
                <c:pt idx="2">
                  <c:v>2871.84</c:v>
                </c:pt>
                <c:pt idx="3">
                  <c:v>2831.48</c:v>
                </c:pt>
                <c:pt idx="4">
                  <c:v>3250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A9-42DC-BE4A-7CD51B33B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410912"/>
        <c:axId val="549408616"/>
      </c:barChart>
      <c:catAx>
        <c:axId val="549410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08616"/>
        <c:crosses val="autoZero"/>
        <c:auto val="1"/>
        <c:lblAlgn val="ctr"/>
        <c:lblOffset val="100"/>
        <c:noMultiLvlLbl val="0"/>
      </c:catAx>
      <c:valAx>
        <c:axId val="549408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109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8162.0400000000009</c:v>
                </c:pt>
                <c:pt idx="1">
                  <c:v>8499.869999999999</c:v>
                </c:pt>
                <c:pt idx="2">
                  <c:v>9517.61</c:v>
                </c:pt>
                <c:pt idx="3">
                  <c:v>10023.879999999999</c:v>
                </c:pt>
                <c:pt idx="4">
                  <c:v>10414.56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18E-4EC6-9F25-9B2FD42B3A5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2644.65</c:v>
                </c:pt>
                <c:pt idx="1">
                  <c:v>2250.3000000000002</c:v>
                </c:pt>
                <c:pt idx="2">
                  <c:v>2176.0100000000002</c:v>
                </c:pt>
                <c:pt idx="3">
                  <c:v>1597.4099999999999</c:v>
                </c:pt>
                <c:pt idx="4">
                  <c:v>1890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18E-4EC6-9F25-9B2FD42B3A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434064"/>
        <c:axId val="549430784"/>
      </c:barChart>
      <c:catAx>
        <c:axId val="549434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30784"/>
        <c:crosses val="autoZero"/>
        <c:auto val="1"/>
        <c:lblAlgn val="ctr"/>
        <c:lblOffset val="100"/>
        <c:noMultiLvlLbl val="0"/>
      </c:catAx>
      <c:valAx>
        <c:axId val="549430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3406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8162.0400000000009</c:v>
                </c:pt>
                <c:pt idx="1">
                  <c:v>8499.869999999999</c:v>
                </c:pt>
                <c:pt idx="2">
                  <c:v>9517.61</c:v>
                </c:pt>
                <c:pt idx="3">
                  <c:v>10023.879999999999</c:v>
                </c:pt>
                <c:pt idx="4">
                  <c:v>10414.56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66-4E7C-A607-12ED10CA4DC6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2319.5100000000002</c:v>
                </c:pt>
                <c:pt idx="1">
                  <c:v>2342.2199999999998</c:v>
                </c:pt>
                <c:pt idx="2">
                  <c:v>2945.44</c:v>
                </c:pt>
                <c:pt idx="3">
                  <c:v>2415.0299999999997</c:v>
                </c:pt>
                <c:pt idx="4">
                  <c:v>2151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66-4E7C-A607-12ED10CA4D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1830616"/>
        <c:axId val="451834224"/>
      </c:barChart>
      <c:catAx>
        <c:axId val="45183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34224"/>
        <c:crosses val="autoZero"/>
        <c:auto val="1"/>
        <c:lblAlgn val="ctr"/>
        <c:lblOffset val="100"/>
        <c:noMultiLvlLbl val="0"/>
      </c:catAx>
      <c:valAx>
        <c:axId val="451834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306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8162.04</c:v>
                </c:pt>
                <c:pt idx="1">
                  <c:v>8499.869999999999</c:v>
                </c:pt>
                <c:pt idx="2">
                  <c:v>9517.61</c:v>
                </c:pt>
                <c:pt idx="3">
                  <c:v>10023.879999999999</c:v>
                </c:pt>
                <c:pt idx="4">
                  <c:v>10414.560000000001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12-4F28-9756-238A78A67C4F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4534.2299999999996</c:v>
                </c:pt>
                <c:pt idx="1">
                  <c:v>2971.5</c:v>
                </c:pt>
                <c:pt idx="2">
                  <c:v>3073.83</c:v>
                </c:pt>
                <c:pt idx="3">
                  <c:v>2406.15</c:v>
                </c:pt>
                <c:pt idx="4">
                  <c:v>3029.8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12-4F28-9756-238A78A67C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637600"/>
        <c:axId val="549637928"/>
      </c:barChart>
      <c:catAx>
        <c:axId val="54963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37928"/>
        <c:crosses val="autoZero"/>
        <c:auto val="1"/>
        <c:lblAlgn val="ctr"/>
        <c:lblOffset val="100"/>
        <c:noMultiLvlLbl val="0"/>
      </c:catAx>
      <c:valAx>
        <c:axId val="549637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376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8162.04</c:v>
                </c:pt>
                <c:pt idx="1">
                  <c:v>8499.869999999999</c:v>
                </c:pt>
                <c:pt idx="2">
                  <c:v>9517.61</c:v>
                </c:pt>
                <c:pt idx="3">
                  <c:v>10023.879999999999</c:v>
                </c:pt>
                <c:pt idx="4">
                  <c:v>10414.560000000001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AA-4DB6-8C80-786CA147817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3627.8100000000004</c:v>
                </c:pt>
                <c:pt idx="1">
                  <c:v>5528.37</c:v>
                </c:pt>
                <c:pt idx="2">
                  <c:v>6443.7800000000007</c:v>
                </c:pt>
                <c:pt idx="3">
                  <c:v>7617.73</c:v>
                </c:pt>
                <c:pt idx="4">
                  <c:v>7384.76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AA-4DB6-8C80-786CA1478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376896"/>
        <c:axId val="553373944"/>
      </c:barChart>
      <c:catAx>
        <c:axId val="55337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73944"/>
        <c:crosses val="autoZero"/>
        <c:auto val="1"/>
        <c:lblAlgn val="ctr"/>
        <c:lblOffset val="100"/>
        <c:noMultiLvlLbl val="0"/>
      </c:catAx>
      <c:valAx>
        <c:axId val="553373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768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3005.0699999999997</c:v>
                </c:pt>
                <c:pt idx="1">
                  <c:v>3088.34</c:v>
                </c:pt>
                <c:pt idx="2">
                  <c:v>2143.23</c:v>
                </c:pt>
                <c:pt idx="3">
                  <c:v>2318.27</c:v>
                </c:pt>
                <c:pt idx="4">
                  <c:v>2277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56-4557-9FE6-2D0F211EB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815568"/>
        <c:axId val="553817536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4040.4</c:v>
                </c:pt>
                <c:pt idx="1">
                  <c:v>4160.96</c:v>
                </c:pt>
                <c:pt idx="2">
                  <c:v>2871.84</c:v>
                </c:pt>
                <c:pt idx="3">
                  <c:v>2831.48</c:v>
                </c:pt>
                <c:pt idx="4">
                  <c:v>3250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F56-4557-9FE6-2D0F211EB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593624"/>
        <c:axId val="553592968"/>
      </c:lineChart>
      <c:catAx>
        <c:axId val="55381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7536"/>
        <c:crosses val="autoZero"/>
        <c:auto val="1"/>
        <c:lblAlgn val="ctr"/>
        <c:lblOffset val="100"/>
        <c:noMultiLvlLbl val="0"/>
      </c:catAx>
      <c:valAx>
        <c:axId val="553817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568"/>
        <c:crosses val="autoZero"/>
        <c:crossBetween val="between"/>
      </c:valAx>
      <c:valAx>
        <c:axId val="5535929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3593624"/>
        <c:crosses val="max"/>
        <c:crossBetween val="between"/>
      </c:valAx>
      <c:catAx>
        <c:axId val="553593624"/>
        <c:scaling>
          <c:orientation val="minMax"/>
        </c:scaling>
        <c:delete val="1"/>
        <c:axPos val="b"/>
        <c:majorTickMark val="out"/>
        <c:minorTickMark val="none"/>
        <c:tickLblPos val="nextTo"/>
        <c:crossAx val="55359296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246.42000000000041</c:v>
                </c:pt>
                <c:pt idx="1">
                  <c:v>725.34999999999991</c:v>
                </c:pt>
                <c:pt idx="2">
                  <c:v>432.82000000000016</c:v>
                </c:pt>
                <c:pt idx="3">
                  <c:v>1617.56</c:v>
                </c:pt>
                <c:pt idx="4">
                  <c:v>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8E-46F7-BE73-09CE8040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595264"/>
        <c:axId val="55359657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246.42000000000041</c:v>
                </c:pt>
                <c:pt idx="1">
                  <c:v>725.34999999999991</c:v>
                </c:pt>
                <c:pt idx="2">
                  <c:v>432.82000000000016</c:v>
                </c:pt>
                <c:pt idx="3">
                  <c:v>1617.56</c:v>
                </c:pt>
                <c:pt idx="4">
                  <c:v>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8E-46F7-BE73-09CE8040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46240"/>
        <c:axId val="553648864"/>
      </c:lineChart>
      <c:catAx>
        <c:axId val="553595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1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5264"/>
        <c:crosses val="autoZero"/>
        <c:crossBetween val="between"/>
      </c:valAx>
      <c:valAx>
        <c:axId val="5536488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3646240"/>
        <c:crosses val="max"/>
        <c:crossBetween val="between"/>
      </c:valAx>
      <c:catAx>
        <c:axId val="553646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5364886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77-459E-8A10-E838A94EAC4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77-459E-8A10-E838A94EAC4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C77-459E-8A10-E838A94EAC4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C77-459E-8A10-E838A94EAC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77-459E-8A10-E838A94EA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31032"/>
        <c:axId val="452529720"/>
      </c:lineChart>
      <c:catAx>
        <c:axId val="45253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29720"/>
        <c:crosses val="autoZero"/>
        <c:auto val="0"/>
        <c:lblAlgn val="ctr"/>
        <c:lblOffset val="100"/>
        <c:noMultiLvlLbl val="0"/>
      </c:catAx>
      <c:valAx>
        <c:axId val="452529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531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FC-4613-8873-919D16C598F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0FC-4613-8873-919D16C598F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0FC-4613-8873-919D16C598F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0FC-4613-8873-919D16C598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FC-4613-8873-919D16C598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4672"/>
        <c:axId val="447585608"/>
      </c:lineChart>
      <c:catAx>
        <c:axId val="44664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585608"/>
        <c:crosses val="autoZero"/>
        <c:auto val="0"/>
        <c:lblAlgn val="ctr"/>
        <c:lblOffset val="100"/>
        <c:noMultiLvlLbl val="0"/>
      </c:catAx>
      <c:valAx>
        <c:axId val="447585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6446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523-48DE-A0ED-269A63070F4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523-48DE-A0ED-269A63070F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3052.64</c:v>
                </c:pt>
                <c:pt idx="1">
                  <c:v>3285.76</c:v>
                </c:pt>
                <c:pt idx="2">
                  <c:v>2211.31</c:v>
                </c:pt>
                <c:pt idx="3">
                  <c:v>2016.78</c:v>
                </c:pt>
                <c:pt idx="4">
                  <c:v>2618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523-48DE-A0ED-269A63070F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585280"/>
        <c:axId val="452317528"/>
      </c:lineChart>
      <c:catAx>
        <c:axId val="447585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7528"/>
        <c:crosses val="autoZero"/>
        <c:auto val="0"/>
        <c:lblAlgn val="ctr"/>
        <c:lblOffset val="100"/>
        <c:noMultiLvlLbl val="0"/>
      </c:catAx>
      <c:valAx>
        <c:axId val="452317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7585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407-41F7-ACA4-20DD2EAF0D7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407-41F7-ACA4-20DD2EAF0D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915.1</c:v>
                </c:pt>
                <c:pt idx="1">
                  <c:v>1051.5999999999999</c:v>
                </c:pt>
                <c:pt idx="2">
                  <c:v>689.8</c:v>
                </c:pt>
                <c:pt idx="3">
                  <c:v>380.94</c:v>
                </c:pt>
                <c:pt idx="4">
                  <c:v>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407-41F7-ACA4-20DD2EAF0D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32552"/>
        <c:axId val="452533208"/>
      </c:lineChart>
      <c:catAx>
        <c:axId val="452532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33208"/>
        <c:crosses val="autoZero"/>
        <c:auto val="0"/>
        <c:lblAlgn val="ctr"/>
        <c:lblOffset val="100"/>
        <c:noMultiLvlLbl val="0"/>
      </c:catAx>
      <c:valAx>
        <c:axId val="452533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2532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5FC-4F63-AAF4-9E697B8A51A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5FC-4F63-AAF4-9E697B8A51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0.03</c:v>
                </c:pt>
                <c:pt idx="1">
                  <c:v>0.09</c:v>
                </c:pt>
                <c:pt idx="2">
                  <c:v>0.05</c:v>
                </c:pt>
                <c:pt idx="3">
                  <c:v>0.16</c:v>
                </c:pt>
                <c:pt idx="4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5FC-4F63-AAF4-9E697B8A5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992944"/>
        <c:axId val="452994256"/>
      </c:lineChart>
      <c:catAx>
        <c:axId val="45299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994256"/>
        <c:crosses val="autoZero"/>
        <c:auto val="0"/>
        <c:lblAlgn val="ctr"/>
        <c:lblOffset val="100"/>
        <c:noMultiLvlLbl val="0"/>
      </c:catAx>
      <c:valAx>
        <c:axId val="452994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2992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D0C-475A-AEE0-A810AA17C39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D0C-475A-AEE0-A810AA17C3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0.17</c:v>
                </c:pt>
                <c:pt idx="1">
                  <c:v>0.2</c:v>
                </c:pt>
                <c:pt idx="2">
                  <c:v>0.12</c:v>
                </c:pt>
                <c:pt idx="3">
                  <c:v>0.08</c:v>
                </c:pt>
                <c:pt idx="4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D0C-475A-AEE0-A810AA17C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504888"/>
        <c:axId val="446860480"/>
      </c:lineChart>
      <c:catAx>
        <c:axId val="452504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860480"/>
        <c:crosses val="autoZero"/>
        <c:auto val="0"/>
        <c:lblAlgn val="ctr"/>
        <c:lblOffset val="100"/>
        <c:noMultiLvlLbl val="0"/>
      </c:catAx>
      <c:valAx>
        <c:axId val="446860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25048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4F27901-6759-2098-3B6F-313441F88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0BF0C4-3F57-B707-5706-23658E22D0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DB0E8B-44D7-BCD8-4C8D-04DA8EBD4E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FF9FCD-96AF-8AAC-000C-BDED75E02D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32C41C-A08E-BCF5-E0C1-E313C10418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58C28A-F4D4-CEC4-BED1-8441D25D9C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5A4068-9092-A8FC-254F-454FF6C4C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1D5D21-2E6F-5A41-AD90-B672F0EC7E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2ACCB5-939F-9DDF-9194-3399DF1D10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1E991C-33D1-8B93-D544-87DA92AF6A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D72B79-E13F-9590-6558-7EED27E1A3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28FF4C-8C3B-4C91-63AC-5851C39C27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F879EC-248D-42DD-570D-80B532998E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1B54A2-73A4-B66B-ED8D-E02EBF5B43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447940-896A-C579-8D72-981B392D93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5589B9-95A7-9FC5-D2A6-632D0CBD00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7B38FF-4751-1D79-E62C-492A05D370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328BDE-099B-9BEC-5E97-1C24EBC228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6CF864-D1D1-936C-81B6-68734F8B50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866F56-8726-345A-DAA2-14AC0DBDC6E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6922DB4F-56B4-EFE1-5E58-450E28008D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86D3B386-FFAA-3FBA-45CF-D9FAFB9E6E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D5C395-D20A-F06D-C39D-AF750C5900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1FD86DE5-42B8-F94D-E745-848A3A0DB9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C89CCB3D-B3FA-114B-B665-4846320E4D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2FC3C2F4-0992-E697-F7EA-015829FB5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C9A40520-AA13-283E-B8AC-F644E3DD4A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ABCF3E59-47BE-87B6-CAC4-A71F66A950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170A8AD7-FBEE-B2D5-A5C9-6391CC2C1B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7F3FBA47-93F3-4BFC-7BBE-38ED12C4C7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EB570A71-E80F-BEBB-6160-F155E057D5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2AD02760-A7BA-8C1E-0E75-5A0FAD9CA0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F0BAC219-8B06-EFF6-504D-6EDB9C91D7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15C060-9DE5-39B8-270D-B22BDDC9F3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995F01-5DD2-3186-D06D-76F4F96CC6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46D60B-926A-EFC4-0DCF-7CF76D3845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A935AA-839C-D9F1-0CF7-35AF462DBA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11D402-29CF-47B7-16BB-92A09E0D89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FC29A2-C5EA-805B-728A-F7DD58CD98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04BCC-30FC-4415-BB6D-723DE54FACE5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55.32</v>
      </c>
      <c r="D6">
        <v>55.34</v>
      </c>
      <c r="E6">
        <v>55.37</v>
      </c>
      <c r="F6">
        <v>55.39</v>
      </c>
      <c r="G6">
        <v>72</v>
      </c>
      <c r="H6" t="s">
        <v>1</v>
      </c>
    </row>
    <row r="7" spans="1:8" x14ac:dyDescent="0.25">
      <c r="B7" t="s">
        <v>6</v>
      </c>
      <c r="C7">
        <v>55.32</v>
      </c>
      <c r="D7">
        <v>289.29000000000002</v>
      </c>
      <c r="E7">
        <v>55.37</v>
      </c>
      <c r="F7">
        <v>55.39</v>
      </c>
      <c r="G7">
        <v>72</v>
      </c>
      <c r="H7" t="s">
        <v>1</v>
      </c>
    </row>
    <row r="8" spans="1:8" x14ac:dyDescent="0.25">
      <c r="A8" t="s">
        <v>90</v>
      </c>
      <c r="B8" t="s">
        <v>7</v>
      </c>
      <c r="C8" s="2">
        <v>2796.83</v>
      </c>
      <c r="D8" s="2">
        <v>2619.46</v>
      </c>
      <c r="E8" s="2">
        <v>2616.3000000000002</v>
      </c>
      <c r="F8" s="2">
        <v>3321.37</v>
      </c>
      <c r="G8" s="2">
        <v>3777</v>
      </c>
      <c r="H8" t="s">
        <v>1</v>
      </c>
    </row>
    <row r="9" spans="1:8" x14ac:dyDescent="0.25">
      <c r="B9" t="s">
        <v>8</v>
      </c>
      <c r="C9" s="2">
        <v>2796.83</v>
      </c>
      <c r="D9" s="2">
        <v>2619.46</v>
      </c>
      <c r="E9" s="2">
        <v>2616.3000000000002</v>
      </c>
      <c r="F9" s="2">
        <v>3321.37</v>
      </c>
      <c r="G9" s="2">
        <v>3777</v>
      </c>
      <c r="H9" t="s">
        <v>1</v>
      </c>
    </row>
    <row r="10" spans="1:8" x14ac:dyDescent="0.25">
      <c r="B10" t="s">
        <v>9</v>
      </c>
      <c r="C10" s="2">
        <v>2852.15</v>
      </c>
      <c r="D10" s="2">
        <v>2908.75</v>
      </c>
      <c r="E10" s="2">
        <v>2671.67</v>
      </c>
      <c r="F10" s="2">
        <v>3376.76</v>
      </c>
      <c r="G10" s="2">
        <v>3849</v>
      </c>
      <c r="H10" t="s">
        <v>1</v>
      </c>
    </row>
    <row r="11" spans="1:8" x14ac:dyDescent="0.25">
      <c r="A11" t="s">
        <v>10</v>
      </c>
      <c r="B11" t="s">
        <v>10</v>
      </c>
      <c r="C11">
        <v>345.73</v>
      </c>
      <c r="D11">
        <v>329.83</v>
      </c>
      <c r="E11">
        <v>385.79</v>
      </c>
      <c r="F11">
        <v>383.49</v>
      </c>
      <c r="G11">
        <v>353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2173.11</v>
      </c>
      <c r="D13">
        <v>1657.52</v>
      </c>
      <c r="E13" s="2">
        <v>1240.9000000000001</v>
      </c>
      <c r="F13" s="2">
        <v>502.85</v>
      </c>
      <c r="G13" s="2">
        <v>355</v>
      </c>
      <c r="H13" t="s">
        <v>1</v>
      </c>
    </row>
    <row r="14" spans="1:8" x14ac:dyDescent="0.25">
      <c r="A14" t="s">
        <v>91</v>
      </c>
      <c r="B14" t="s">
        <v>13</v>
      </c>
      <c r="C14">
        <v>34.450000000000003</v>
      </c>
      <c r="D14">
        <v>31.07</v>
      </c>
      <c r="E14">
        <v>31.25</v>
      </c>
      <c r="F14">
        <v>28.45</v>
      </c>
      <c r="G14">
        <v>28</v>
      </c>
      <c r="H14" t="s">
        <v>1</v>
      </c>
    </row>
    <row r="15" spans="1:8" x14ac:dyDescent="0.25">
      <c r="A15" t="s">
        <v>92</v>
      </c>
      <c r="B15" t="s">
        <v>14</v>
      </c>
      <c r="C15">
        <v>0</v>
      </c>
      <c r="D15">
        <v>0</v>
      </c>
      <c r="E15">
        <v>306.52</v>
      </c>
      <c r="F15">
        <v>278.55</v>
      </c>
      <c r="G15">
        <v>419</v>
      </c>
      <c r="H15" t="s">
        <v>1</v>
      </c>
    </row>
    <row r="16" spans="1:8" x14ac:dyDescent="0.25">
      <c r="A16" t="s">
        <v>93</v>
      </c>
      <c r="B16" t="s">
        <v>15</v>
      </c>
      <c r="C16">
        <v>64.89</v>
      </c>
      <c r="D16">
        <v>53.48</v>
      </c>
      <c r="E16">
        <v>45.6</v>
      </c>
      <c r="F16">
        <v>84.37</v>
      </c>
      <c r="G16">
        <v>32</v>
      </c>
      <c r="H16" t="s">
        <v>1</v>
      </c>
    </row>
    <row r="17" spans="1:8" x14ac:dyDescent="0.25">
      <c r="B17" t="s">
        <v>16</v>
      </c>
      <c r="C17">
        <v>2272.4499999999998</v>
      </c>
      <c r="D17">
        <v>1742.07</v>
      </c>
      <c r="E17" s="2">
        <v>1624.27</v>
      </c>
      <c r="F17" s="2">
        <v>894.22</v>
      </c>
      <c r="G17" s="2">
        <v>834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437.09</v>
      </c>
      <c r="D19" s="2">
        <v>561.71</v>
      </c>
      <c r="E19">
        <v>903.86</v>
      </c>
      <c r="F19">
        <v>1066.1099999999999</v>
      </c>
      <c r="G19">
        <v>1507</v>
      </c>
      <c r="H19" t="s">
        <v>1</v>
      </c>
    </row>
    <row r="20" spans="1:8" x14ac:dyDescent="0.25">
      <c r="A20" t="s">
        <v>92</v>
      </c>
      <c r="B20" t="s">
        <v>19</v>
      </c>
      <c r="C20">
        <v>601.78</v>
      </c>
      <c r="D20">
        <v>840.24</v>
      </c>
      <c r="E20">
        <v>895.27</v>
      </c>
      <c r="F20">
        <v>577.97</v>
      </c>
      <c r="G20">
        <v>921</v>
      </c>
      <c r="H20" t="s">
        <v>1</v>
      </c>
    </row>
    <row r="21" spans="1:8" x14ac:dyDescent="0.25">
      <c r="A21" t="s">
        <v>92</v>
      </c>
      <c r="B21" t="s">
        <v>20</v>
      </c>
      <c r="C21">
        <v>1608.26</v>
      </c>
      <c r="D21" s="2">
        <v>1406.57</v>
      </c>
      <c r="E21" s="2">
        <v>1580.77</v>
      </c>
      <c r="F21" s="2">
        <v>1414.35</v>
      </c>
      <c r="G21" s="2">
        <v>742</v>
      </c>
      <c r="H21" t="s">
        <v>1</v>
      </c>
    </row>
    <row r="22" spans="1:8" x14ac:dyDescent="0.25">
      <c r="A22" t="s">
        <v>93</v>
      </c>
      <c r="B22" t="s">
        <v>21</v>
      </c>
      <c r="C22">
        <v>44.58</v>
      </c>
      <c r="D22">
        <v>41.93</v>
      </c>
      <c r="E22">
        <v>117.28</v>
      </c>
      <c r="F22">
        <v>59.79</v>
      </c>
      <c r="G22">
        <v>37</v>
      </c>
      <c r="H22" t="s">
        <v>1</v>
      </c>
    </row>
    <row r="23" spans="1:8" x14ac:dyDescent="0.25">
      <c r="B23" t="s">
        <v>22</v>
      </c>
      <c r="C23" s="2">
        <v>2691.71</v>
      </c>
      <c r="D23" s="2">
        <v>2850.45</v>
      </c>
      <c r="E23" s="2">
        <v>3497.18</v>
      </c>
      <c r="F23" s="2">
        <v>3118.22</v>
      </c>
      <c r="G23" s="2">
        <v>3207</v>
      </c>
      <c r="H23" t="s">
        <v>1</v>
      </c>
    </row>
    <row r="24" spans="1:8" x14ac:dyDescent="0.25">
      <c r="B24" t="s">
        <v>23</v>
      </c>
      <c r="C24" s="2">
        <v>8162.04</v>
      </c>
      <c r="D24" s="2">
        <v>7831.1</v>
      </c>
      <c r="E24" s="2">
        <v>8178.91</v>
      </c>
      <c r="F24" s="2">
        <v>7772.69</v>
      </c>
      <c r="G24" s="2">
        <v>8243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1947.92</v>
      </c>
      <c r="D27" s="2">
        <v>2124.5</v>
      </c>
      <c r="E27" s="2">
        <v>2478.89</v>
      </c>
      <c r="F27" s="2">
        <v>2311.4499999999998</v>
      </c>
      <c r="G27" s="2">
        <v>3913</v>
      </c>
      <c r="H27" t="s">
        <v>1</v>
      </c>
    </row>
    <row r="28" spans="1:8" x14ac:dyDescent="0.25">
      <c r="A28" t="s">
        <v>29</v>
      </c>
      <c r="B28" t="s">
        <v>27</v>
      </c>
      <c r="C28">
        <v>99.46</v>
      </c>
      <c r="D28">
        <v>112.87</v>
      </c>
      <c r="E28">
        <v>148.21</v>
      </c>
      <c r="F28">
        <v>127.63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1039.1300000000001</v>
      </c>
      <c r="D29">
        <v>899.72</v>
      </c>
      <c r="E29">
        <v>836.46</v>
      </c>
      <c r="F29">
        <v>602.82000000000005</v>
      </c>
      <c r="G29" s="2">
        <v>0</v>
      </c>
      <c r="H29" t="s">
        <v>1</v>
      </c>
    </row>
    <row r="30" spans="1:8" x14ac:dyDescent="0.25">
      <c r="B30" t="s">
        <v>29</v>
      </c>
      <c r="C30" s="2">
        <v>3479.95</v>
      </c>
      <c r="D30" s="2">
        <v>3682.85</v>
      </c>
      <c r="E30" s="2">
        <v>4211.63</v>
      </c>
      <c r="F30" s="2">
        <v>3818.02</v>
      </c>
      <c r="G30" s="2">
        <v>3913</v>
      </c>
      <c r="H30" t="s">
        <v>1</v>
      </c>
    </row>
    <row r="31" spans="1:8" x14ac:dyDescent="0.25">
      <c r="A31" t="s">
        <v>94</v>
      </c>
      <c r="B31" t="s">
        <v>30</v>
      </c>
      <c r="C31">
        <v>0.45</v>
      </c>
      <c r="D31">
        <v>0.45</v>
      </c>
      <c r="E31">
        <v>0.45</v>
      </c>
      <c r="F31">
        <v>0.45</v>
      </c>
      <c r="G31">
        <v>0</v>
      </c>
      <c r="H31" t="s">
        <v>1</v>
      </c>
    </row>
    <row r="32" spans="1:8" x14ac:dyDescent="0.25">
      <c r="A32" t="s">
        <v>95</v>
      </c>
      <c r="B32" t="s">
        <v>31</v>
      </c>
      <c r="C32">
        <v>183.56</v>
      </c>
      <c r="D32">
        <v>273.27</v>
      </c>
      <c r="E32">
        <v>429.42</v>
      </c>
      <c r="F32">
        <v>397.5</v>
      </c>
      <c r="G32">
        <v>573</v>
      </c>
      <c r="H32" t="s">
        <v>1</v>
      </c>
    </row>
    <row r="33" spans="1:8" x14ac:dyDescent="0.25">
      <c r="A33" t="s">
        <v>95</v>
      </c>
      <c r="B33" t="s">
        <v>32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277.89999999999998</v>
      </c>
      <c r="D34">
        <v>252.53</v>
      </c>
      <c r="E34">
        <v>232.39</v>
      </c>
      <c r="F34">
        <v>228.3</v>
      </c>
      <c r="G34">
        <v>277</v>
      </c>
      <c r="H34" t="s">
        <v>1</v>
      </c>
    </row>
    <row r="35" spans="1:8" x14ac:dyDescent="0.25">
      <c r="B35" t="s">
        <v>34</v>
      </c>
      <c r="C35" s="2">
        <v>4782.4399999999996</v>
      </c>
      <c r="D35" s="2">
        <v>5029.66</v>
      </c>
      <c r="E35" s="2">
        <v>5749.08</v>
      </c>
      <c r="F35" s="2">
        <v>5348.31</v>
      </c>
      <c r="G35" s="2">
        <v>5654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213.25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>
        <v>855.71</v>
      </c>
      <c r="D38">
        <v>819.36</v>
      </c>
      <c r="E38">
        <v>689.83</v>
      </c>
      <c r="F38">
        <v>798.88</v>
      </c>
      <c r="G38">
        <v>769</v>
      </c>
      <c r="H38" t="s">
        <v>1</v>
      </c>
    </row>
    <row r="39" spans="1:8" x14ac:dyDescent="0.25">
      <c r="A39" t="s">
        <v>96</v>
      </c>
      <c r="B39" t="s">
        <v>38</v>
      </c>
      <c r="C39">
        <v>962.45</v>
      </c>
      <c r="D39">
        <v>1260.69</v>
      </c>
      <c r="E39" s="2">
        <v>1242.69</v>
      </c>
      <c r="F39" s="2">
        <v>917.65</v>
      </c>
      <c r="G39">
        <v>918</v>
      </c>
      <c r="H39" t="s">
        <v>1</v>
      </c>
    </row>
    <row r="40" spans="1:8" x14ac:dyDescent="0.25">
      <c r="A40" t="s">
        <v>96</v>
      </c>
      <c r="B40" t="s">
        <v>39</v>
      </c>
      <c r="C40">
        <v>1082.25</v>
      </c>
      <c r="D40">
        <v>448.65</v>
      </c>
      <c r="E40">
        <v>268.45999999999998</v>
      </c>
      <c r="F40">
        <v>291.79000000000002</v>
      </c>
      <c r="G40" s="2">
        <v>406</v>
      </c>
      <c r="H40" t="s">
        <v>1</v>
      </c>
    </row>
    <row r="41" spans="1:8" x14ac:dyDescent="0.25">
      <c r="A41" t="s">
        <v>95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>
        <v>265.94</v>
      </c>
      <c r="D42">
        <v>272.74</v>
      </c>
      <c r="E42">
        <v>228.85</v>
      </c>
      <c r="F42">
        <v>416.06</v>
      </c>
      <c r="G42">
        <v>496</v>
      </c>
      <c r="H42" t="s">
        <v>1</v>
      </c>
    </row>
    <row r="43" spans="1:8" x14ac:dyDescent="0.25">
      <c r="B43" t="s">
        <v>42</v>
      </c>
      <c r="C43" s="2">
        <v>3379.6</v>
      </c>
      <c r="D43" s="2">
        <v>2801.44</v>
      </c>
      <c r="E43" s="2">
        <v>2429.83</v>
      </c>
      <c r="F43" s="2">
        <v>2424.38</v>
      </c>
      <c r="G43" s="2">
        <v>2589</v>
      </c>
      <c r="H43" t="s">
        <v>1</v>
      </c>
    </row>
    <row r="44" spans="1:8" x14ac:dyDescent="0.25">
      <c r="B44" t="s">
        <v>43</v>
      </c>
      <c r="C44" s="2">
        <v>8162.04</v>
      </c>
      <c r="D44" s="2">
        <v>7831.1</v>
      </c>
      <c r="E44" s="2">
        <v>8178.91</v>
      </c>
      <c r="F44" s="2">
        <v>7772.69</v>
      </c>
      <c r="G44" s="2">
        <v>8243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576.97</v>
      </c>
      <c r="D47">
        <v>428.09</v>
      </c>
      <c r="E47">
        <v>641.08000000000004</v>
      </c>
      <c r="F47">
        <v>567.64</v>
      </c>
      <c r="G47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18.21</v>
      </c>
      <c r="D49">
        <v>18.21</v>
      </c>
      <c r="E49">
        <v>18.21</v>
      </c>
      <c r="F49">
        <v>18.23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0.45</v>
      </c>
      <c r="D52">
        <v>0.45</v>
      </c>
      <c r="E52">
        <v>0.45</v>
      </c>
      <c r="F52">
        <v>0.45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213.25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2F703-3AA5-4BDF-9C19-49659752AFC6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5" width="10" bestFit="1" customWidth="1"/>
    <col min="6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0</v>
      </c>
      <c r="D6" s="16">
        <f>'Income Statement'!D28</f>
        <v>0</v>
      </c>
      <c r="E6" s="16">
        <f>'Income Statement'!E28</f>
        <v>0</v>
      </c>
      <c r="F6" s="16">
        <f>'Income Statement'!F28</f>
        <v>0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-4.4803636363636441</v>
      </c>
      <c r="D7" s="16">
        <f>'Income Statement'!D35</f>
        <v>-40.297222222222217</v>
      </c>
      <c r="E7" s="16">
        <f>'Income Statement'!E35</f>
        <v>-72.136666666666699</v>
      </c>
      <c r="F7" s="16">
        <f>'Income Statement'!F35</f>
        <v>26.089677419354839</v>
      </c>
      <c r="G7" s="16">
        <f>'Income Statement'!G35</f>
        <v>-18.8</v>
      </c>
    </row>
    <row r="8" spans="2:7" ht="18.75" x14ac:dyDescent="0.25">
      <c r="B8" s="15" t="s">
        <v>148</v>
      </c>
      <c r="C8" s="16">
        <f>ROUND(C6/C7, 2)</f>
        <v>0</v>
      </c>
      <c r="D8" s="16">
        <f t="shared" ref="D8:G8" si="0">ROUND(D6/D7, 2)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246.42000000000041</v>
      </c>
      <c r="D9" s="16">
        <f>'Income Statement'!D27</f>
        <v>725.34999999999991</v>
      </c>
      <c r="E9" s="16">
        <f>'Income Statement'!E27</f>
        <v>432.82000000000016</v>
      </c>
      <c r="F9" s="16">
        <f>'Income Statement'!F27</f>
        <v>1617.56</v>
      </c>
      <c r="G9" s="16">
        <f>'Income Statement'!G27</f>
        <v>376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-4.4803636363636441</v>
      </c>
      <c r="D10" s="16">
        <f>'Income Statement'!D35</f>
        <v>-40.297222222222217</v>
      </c>
      <c r="E10" s="16">
        <f>'Income Statement'!E35</f>
        <v>-72.136666666666699</v>
      </c>
      <c r="F10" s="16">
        <f>'Income Statement'!F35</f>
        <v>26.089677419354839</v>
      </c>
      <c r="G10" s="16">
        <f>'Income Statement'!G35</f>
        <v>-18.8</v>
      </c>
    </row>
    <row r="11" spans="2:7" ht="18.75" x14ac:dyDescent="0.25">
      <c r="B11" s="15" t="s">
        <v>146</v>
      </c>
      <c r="C11" s="16">
        <f>C9/C10</f>
        <v>-55</v>
      </c>
      <c r="D11" s="16">
        <f t="shared" ref="D11:G11" si="1">D9/D10</f>
        <v>-18</v>
      </c>
      <c r="E11" s="16">
        <f t="shared" si="1"/>
        <v>-6</v>
      </c>
      <c r="F11" s="16">
        <f t="shared" si="1"/>
        <v>62</v>
      </c>
      <c r="G11" s="16">
        <f t="shared" si="1"/>
        <v>-20</v>
      </c>
    </row>
    <row r="12" spans="2:7" ht="18.75" x14ac:dyDescent="0.25">
      <c r="B12" s="17" t="s">
        <v>152</v>
      </c>
      <c r="C12" s="17">
        <f>ROUND(C8/C11, 2)</f>
        <v>0</v>
      </c>
      <c r="D12" s="17">
        <f t="shared" ref="D12:G12" si="2">ROUND(D8/D11, 2)</f>
        <v>0</v>
      </c>
      <c r="E12" s="17">
        <f t="shared" si="2"/>
        <v>0</v>
      </c>
      <c r="F12" s="17">
        <f t="shared" si="2"/>
        <v>0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ECD99-FD99-4D32-9C85-E7F4E06D0295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0</v>
      </c>
      <c r="D6" s="16">
        <f>'Income Statement'!D28</f>
        <v>0</v>
      </c>
      <c r="E6" s="16">
        <f>'Income Statement'!E28</f>
        <v>0</v>
      </c>
      <c r="F6" s="16">
        <f>'Income Statement'!F28</f>
        <v>0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-4.4803636363636441</v>
      </c>
      <c r="D7" s="16">
        <f>'Income Statement'!D35</f>
        <v>-40.297222222222217</v>
      </c>
      <c r="E7" s="16">
        <f>'Income Statement'!E35</f>
        <v>-72.136666666666699</v>
      </c>
      <c r="F7" s="16">
        <f>'Income Statement'!F35</f>
        <v>26.089677419354839</v>
      </c>
      <c r="G7" s="16">
        <f>'Income Statement'!G35</f>
        <v>-18.8</v>
      </c>
    </row>
    <row r="8" spans="2:7" ht="18.75" x14ac:dyDescent="0.25">
      <c r="B8" s="15" t="s">
        <v>154</v>
      </c>
      <c r="C8" s="16">
        <f>ROUND(C6/C7, 2)</f>
        <v>0</v>
      </c>
      <c r="D8" s="16">
        <f t="shared" ref="D8:G8" si="0">ROUND(D6/D7, 2)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1</v>
      </c>
      <c r="D9" s="27">
        <f t="shared" ref="D9:G9" si="1">1-D8</f>
        <v>1</v>
      </c>
      <c r="E9" s="27">
        <f t="shared" si="1"/>
        <v>1</v>
      </c>
      <c r="F9" s="27">
        <f t="shared" si="1"/>
        <v>1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99AE0-3FCE-43EF-99CF-46088E8D306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867.53</v>
      </c>
      <c r="D7" s="16">
        <f>'Income Statement'!D11</f>
        <v>854.18</v>
      </c>
      <c r="E7" s="16">
        <f>'Income Statement'!E11</f>
        <v>621.72</v>
      </c>
      <c r="F7" s="16">
        <f>'Income Statement'!F11</f>
        <v>682.43</v>
      </c>
      <c r="G7" s="16">
        <f>'Income Statement'!G11</f>
        <v>612</v>
      </c>
    </row>
    <row r="8" spans="2:7" ht="18.75" x14ac:dyDescent="0.25">
      <c r="B8" s="17" t="s">
        <v>157</v>
      </c>
      <c r="C8" s="28">
        <f>ROUND(C6- C7, 2)</f>
        <v>3052.64</v>
      </c>
      <c r="D8" s="28">
        <f t="shared" ref="D8:G8" si="0">ROUND(D6- D7, 2)</f>
        <v>3285.76</v>
      </c>
      <c r="E8" s="28">
        <f t="shared" si="0"/>
        <v>2211.31</v>
      </c>
      <c r="F8" s="28">
        <f t="shared" si="0"/>
        <v>2016.78</v>
      </c>
      <c r="G8" s="28">
        <f t="shared" si="0"/>
        <v>2618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C1184-85A6-433C-9BDC-6AAE36F4D81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'Income Statement'!B15</f>
        <v>Total Expenditure</v>
      </c>
      <c r="C7" s="16">
        <f>'Income Statement'!C15</f>
        <v>3005.0699999999997</v>
      </c>
      <c r="D7" s="16">
        <f>'Income Statement'!D15</f>
        <v>3088.34</v>
      </c>
      <c r="E7" s="16">
        <f>'Income Statement'!E15</f>
        <v>2143.23</v>
      </c>
      <c r="F7" s="16">
        <f>'Income Statement'!F15</f>
        <v>2318.27</v>
      </c>
      <c r="G7" s="16">
        <f>'Income Statement'!G15</f>
        <v>2277</v>
      </c>
    </row>
    <row r="8" spans="2:7" ht="18.75" x14ac:dyDescent="0.25">
      <c r="B8" s="17" t="s">
        <v>159</v>
      </c>
      <c r="C8" s="28">
        <f>ROUND(C6- C7, 2)</f>
        <v>915.1</v>
      </c>
      <c r="D8" s="28">
        <f t="shared" ref="D8:G8" si="0">ROUND(D6- D7, 2)</f>
        <v>1051.5999999999999</v>
      </c>
      <c r="E8" s="28">
        <f t="shared" si="0"/>
        <v>689.8</v>
      </c>
      <c r="F8" s="28">
        <f t="shared" si="0"/>
        <v>380.94</v>
      </c>
      <c r="G8" s="28">
        <f t="shared" si="0"/>
        <v>953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B1D2F7-2432-455D-9967-ADB83542A3F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246.42000000000041</v>
      </c>
      <c r="D6" s="16">
        <f>'Income Statement'!D27</f>
        <v>725.34999999999991</v>
      </c>
      <c r="E6" s="16">
        <f>'Income Statement'!E27</f>
        <v>432.82000000000016</v>
      </c>
      <c r="F6" s="16">
        <f>'Income Statement'!F27</f>
        <v>1617.56</v>
      </c>
      <c r="G6" s="16">
        <f>'Income Statement'!G27</f>
        <v>376</v>
      </c>
    </row>
    <row r="7" spans="2:7" ht="18.75" x14ac:dyDescent="0.25">
      <c r="B7" s="15" t="str">
        <f>'Balance Sheet'!B40</f>
        <v>Total Assets</v>
      </c>
      <c r="C7" s="16">
        <f>'Balance Sheet'!C40</f>
        <v>8162.04</v>
      </c>
      <c r="D7" s="16">
        <f>'Balance Sheet'!D40</f>
        <v>8499.869999999999</v>
      </c>
      <c r="E7" s="16">
        <f>'Balance Sheet'!E40</f>
        <v>9517.61</v>
      </c>
      <c r="F7" s="16">
        <f>'Balance Sheet'!F40</f>
        <v>10023.879999999999</v>
      </c>
      <c r="G7" s="16">
        <f>'Balance Sheet'!G40</f>
        <v>10414.560000000001</v>
      </c>
    </row>
    <row r="8" spans="2:7" ht="18.75" x14ac:dyDescent="0.25">
      <c r="B8" s="17" t="s">
        <v>161</v>
      </c>
      <c r="C8" s="27">
        <f>ROUND(C6/ C7, 2)</f>
        <v>0.03</v>
      </c>
      <c r="D8" s="27">
        <f t="shared" ref="D8:G8" si="0">ROUND(D6/ D7, 2)</f>
        <v>0.09</v>
      </c>
      <c r="E8" s="27">
        <f t="shared" si="0"/>
        <v>0.05</v>
      </c>
      <c r="F8" s="27">
        <f t="shared" si="0"/>
        <v>0.16</v>
      </c>
      <c r="G8" s="27">
        <f t="shared" si="0"/>
        <v>0.04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DB1F9-B4C4-430C-9F05-0E0E3D5F9A68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885.80000000000041</v>
      </c>
      <c r="D6" s="16">
        <f>'Income Statement'!D19</f>
        <v>906.57999999999993</v>
      </c>
      <c r="E6" s="16">
        <f>'Income Statement'!E19</f>
        <v>504.47000000000014</v>
      </c>
      <c r="F6" s="16">
        <f>'Income Statement'!F19</f>
        <v>267.19000000000005</v>
      </c>
      <c r="G6" s="16">
        <f>'Income Statement'!G19</f>
        <v>726</v>
      </c>
    </row>
    <row r="7" spans="2:7" ht="18.75" x14ac:dyDescent="0.25">
      <c r="B7" s="15" t="str">
        <f>'Balance Sheet'!B13</f>
        <v>Total Debt</v>
      </c>
      <c r="C7" s="16">
        <f>'Balance Sheet'!C13</f>
        <v>2644.65</v>
      </c>
      <c r="D7" s="16">
        <f>'Balance Sheet'!D13</f>
        <v>2250.3000000000002</v>
      </c>
      <c r="E7" s="16">
        <f>'Balance Sheet'!E13</f>
        <v>2176.0100000000002</v>
      </c>
      <c r="F7" s="16">
        <f>'Balance Sheet'!F13</f>
        <v>1597.4099999999999</v>
      </c>
      <c r="G7" s="16">
        <f>'Balance Sheet'!G13</f>
        <v>1890</v>
      </c>
    </row>
    <row r="8" spans="2:7" ht="18.75" x14ac:dyDescent="0.25">
      <c r="B8" s="15" t="str">
        <f>'Balance Sheet'!B9</f>
        <v>Net Worth</v>
      </c>
      <c r="C8" s="16">
        <f>'Balance Sheet'!C9</f>
        <v>2852.15</v>
      </c>
      <c r="D8" s="16">
        <f>'Balance Sheet'!D9</f>
        <v>3577.52</v>
      </c>
      <c r="E8" s="16">
        <f>'Balance Sheet'!E9</f>
        <v>4010.37</v>
      </c>
      <c r="F8" s="16">
        <f>'Balance Sheet'!F9</f>
        <v>5627.95</v>
      </c>
      <c r="G8" s="16">
        <f>'Balance Sheet'!G9</f>
        <v>6020.5599999999995</v>
      </c>
    </row>
    <row r="9" spans="2:7" ht="18.75" x14ac:dyDescent="0.25">
      <c r="B9" s="17" t="s">
        <v>163</v>
      </c>
      <c r="C9" s="27">
        <f>ROUND(C6/ (C7+ C7), 2)</f>
        <v>0.17</v>
      </c>
      <c r="D9" s="27">
        <f t="shared" ref="D9:G9" si="0">ROUND(D6/ (D7+ D7), 2)</f>
        <v>0.2</v>
      </c>
      <c r="E9" s="27">
        <f t="shared" si="0"/>
        <v>0.12</v>
      </c>
      <c r="F9" s="27">
        <f t="shared" si="0"/>
        <v>0.08</v>
      </c>
      <c r="G9" s="27">
        <f t="shared" si="0"/>
        <v>0.19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AD0A0D-BD16-4947-9C9C-F8D0022F7B1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246.42000000000041</v>
      </c>
      <c r="D6" s="16">
        <f>'Income Statement'!D27</f>
        <v>725.34999999999991</v>
      </c>
      <c r="E6" s="16">
        <f>'Income Statement'!E27</f>
        <v>432.82000000000016</v>
      </c>
      <c r="F6" s="16">
        <f>'Income Statement'!F27</f>
        <v>1617.56</v>
      </c>
      <c r="G6" s="16">
        <f>'Income Statement'!G27</f>
        <v>376</v>
      </c>
    </row>
    <row r="7" spans="2:7" ht="18.75" x14ac:dyDescent="0.25">
      <c r="B7" s="15" t="str">
        <f>'Balance Sheet'!B9</f>
        <v>Net Worth</v>
      </c>
      <c r="C7" s="16">
        <f>'Balance Sheet'!C9</f>
        <v>2852.15</v>
      </c>
      <c r="D7" s="16">
        <f>'Balance Sheet'!D9</f>
        <v>3577.52</v>
      </c>
      <c r="E7" s="16">
        <f>'Balance Sheet'!E9</f>
        <v>4010.37</v>
      </c>
      <c r="F7" s="16">
        <f>'Balance Sheet'!F9</f>
        <v>5627.95</v>
      </c>
      <c r="G7" s="16">
        <f>'Balance Sheet'!G9</f>
        <v>6020.5599999999995</v>
      </c>
    </row>
    <row r="8" spans="2:7" ht="18.75" x14ac:dyDescent="0.25">
      <c r="B8" s="17" t="s">
        <v>165</v>
      </c>
      <c r="C8" s="27">
        <f>ROUND(C6/ (C7+ C7), 2)</f>
        <v>0.04</v>
      </c>
      <c r="D8" s="27">
        <f t="shared" ref="D8:G8" si="0">ROUND(D6/ (D7+ D7), 2)</f>
        <v>0.1</v>
      </c>
      <c r="E8" s="27">
        <f t="shared" si="0"/>
        <v>0.05</v>
      </c>
      <c r="F8" s="27">
        <f t="shared" si="0"/>
        <v>0.14000000000000001</v>
      </c>
      <c r="G8" s="27">
        <f t="shared" si="0"/>
        <v>0.03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284A7-348D-4D3B-8083-2DA56E66DCB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2644.65</v>
      </c>
      <c r="D6" s="16">
        <f>'Balance Sheet'!D13</f>
        <v>2250.3000000000002</v>
      </c>
      <c r="E6" s="16">
        <f>'Balance Sheet'!E13</f>
        <v>2176.0100000000002</v>
      </c>
      <c r="F6" s="16">
        <f>'Balance Sheet'!F13</f>
        <v>1597.4099999999999</v>
      </c>
      <c r="G6" s="16">
        <f>'Balance Sheet'!G13</f>
        <v>1890</v>
      </c>
    </row>
    <row r="7" spans="2:7" ht="18.75" x14ac:dyDescent="0.25">
      <c r="B7" s="15" t="str">
        <f>'Balance Sheet'!B9</f>
        <v>Net Worth</v>
      </c>
      <c r="C7" s="16">
        <f>'Balance Sheet'!C9</f>
        <v>2852.15</v>
      </c>
      <c r="D7" s="16">
        <f>'Balance Sheet'!D9</f>
        <v>3577.52</v>
      </c>
      <c r="E7" s="16">
        <f>'Balance Sheet'!E9</f>
        <v>4010.37</v>
      </c>
      <c r="F7" s="16">
        <f>'Balance Sheet'!F9</f>
        <v>5627.95</v>
      </c>
      <c r="G7" s="16">
        <f>'Balance Sheet'!G9</f>
        <v>6020.5599999999995</v>
      </c>
    </row>
    <row r="8" spans="2:7" ht="18.75" x14ac:dyDescent="0.25">
      <c r="B8" s="17" t="s">
        <v>167</v>
      </c>
      <c r="C8" s="17">
        <f>ROUND(C6/ C7, 2)</f>
        <v>0.93</v>
      </c>
      <c r="D8" s="17">
        <f t="shared" ref="D8:G8" si="0">ROUND(D6/ D7, 2)</f>
        <v>0.63</v>
      </c>
      <c r="E8" s="17">
        <f t="shared" si="0"/>
        <v>0.54</v>
      </c>
      <c r="F8" s="17">
        <f t="shared" si="0"/>
        <v>0.28000000000000003</v>
      </c>
      <c r="G8" s="17">
        <f t="shared" si="0"/>
        <v>0.31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D1877-8202-47EB-BC36-C8391F01147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3627.8100000000004</v>
      </c>
      <c r="D6" s="16">
        <f>'Balance Sheet'!D39</f>
        <v>5528.37</v>
      </c>
      <c r="E6" s="16">
        <f>'Balance Sheet'!E39</f>
        <v>6443.7800000000007</v>
      </c>
      <c r="F6" s="16">
        <f>'Balance Sheet'!F39</f>
        <v>7617.73</v>
      </c>
      <c r="G6" s="16">
        <f>'Balance Sheet'!G39</f>
        <v>7384.76</v>
      </c>
    </row>
    <row r="7" spans="2:7" ht="18.75" x14ac:dyDescent="0.25">
      <c r="B7" s="15" t="str">
        <f>'Balance Sheet'!B19</f>
        <v>Total Current Liabilities</v>
      </c>
      <c r="C7" s="16">
        <f>'Balance Sheet'!C19</f>
        <v>2319.5100000000002</v>
      </c>
      <c r="D7" s="16">
        <f>'Balance Sheet'!D19</f>
        <v>2342.2199999999998</v>
      </c>
      <c r="E7" s="16">
        <f>'Balance Sheet'!E19</f>
        <v>2945.44</v>
      </c>
      <c r="F7" s="16">
        <f>'Balance Sheet'!F19</f>
        <v>2415.0299999999997</v>
      </c>
      <c r="G7" s="16">
        <f>'Balance Sheet'!G19</f>
        <v>2151</v>
      </c>
    </row>
    <row r="8" spans="2:7" ht="18.75" x14ac:dyDescent="0.25">
      <c r="B8" s="17" t="s">
        <v>169</v>
      </c>
      <c r="C8" s="17">
        <f>ROUND(C6/ C7, 2)</f>
        <v>1.56</v>
      </c>
      <c r="D8" s="17">
        <f t="shared" ref="D8:G8" si="0">ROUND(D6/ D7, 2)</f>
        <v>2.36</v>
      </c>
      <c r="E8" s="17">
        <f t="shared" si="0"/>
        <v>2.19</v>
      </c>
      <c r="F8" s="17">
        <f t="shared" si="0"/>
        <v>3.15</v>
      </c>
      <c r="G8" s="17">
        <f t="shared" si="0"/>
        <v>3.43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B91321-BE4F-43A2-8288-58E463C47F7E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3627.8100000000004</v>
      </c>
      <c r="D6" s="16">
        <f>'Balance Sheet'!D39</f>
        <v>5528.37</v>
      </c>
      <c r="E6" s="16">
        <f>'Balance Sheet'!E39</f>
        <v>6443.7800000000007</v>
      </c>
      <c r="F6" s="16">
        <f>'Balance Sheet'!F39</f>
        <v>7617.73</v>
      </c>
      <c r="G6" s="16">
        <f>'Balance Sheet'!G39</f>
        <v>7384.76</v>
      </c>
    </row>
    <row r="7" spans="2:7" ht="18.75" x14ac:dyDescent="0.25">
      <c r="B7" s="15" t="str">
        <f>'Balance Sheet'!B36</f>
        <v>Inventories</v>
      </c>
      <c r="C7" s="16">
        <f>'Balance Sheet'!C36</f>
        <v>855.71</v>
      </c>
      <c r="D7" s="16">
        <f>'Balance Sheet'!D36</f>
        <v>819.36</v>
      </c>
      <c r="E7" s="16">
        <f>'Balance Sheet'!E36</f>
        <v>689.83</v>
      </c>
      <c r="F7" s="16">
        <f>'Balance Sheet'!F36</f>
        <v>798.88</v>
      </c>
      <c r="G7" s="16">
        <f>'Balance Sheet'!G36</f>
        <v>769</v>
      </c>
    </row>
    <row r="8" spans="2:7" ht="18.75" x14ac:dyDescent="0.25">
      <c r="B8" s="15" t="str">
        <f>'Balance Sheet'!B19</f>
        <v>Total Current Liabilities</v>
      </c>
      <c r="C8" s="16">
        <f>'Balance Sheet'!C19</f>
        <v>2319.5100000000002</v>
      </c>
      <c r="D8" s="16">
        <f>'Balance Sheet'!D19</f>
        <v>2342.2199999999998</v>
      </c>
      <c r="E8" s="16">
        <f>'Balance Sheet'!E19</f>
        <v>2945.44</v>
      </c>
      <c r="F8" s="16">
        <f>'Balance Sheet'!F19</f>
        <v>2415.0299999999997</v>
      </c>
      <c r="G8" s="16">
        <f>'Balance Sheet'!G19</f>
        <v>2151</v>
      </c>
    </row>
    <row r="9" spans="2:7" ht="18.75" x14ac:dyDescent="0.25">
      <c r="B9" s="17" t="s">
        <v>171</v>
      </c>
      <c r="C9" s="17">
        <f>ROUND((C6-C7)/ C8, 2)</f>
        <v>1.2</v>
      </c>
      <c r="D9" s="17">
        <f t="shared" ref="D9:G9" si="0">ROUND((D6-D7)/ D8, 2)</f>
        <v>2.0099999999999998</v>
      </c>
      <c r="E9" s="17">
        <f t="shared" si="0"/>
        <v>1.95</v>
      </c>
      <c r="F9" s="17">
        <f t="shared" si="0"/>
        <v>2.82</v>
      </c>
      <c r="G9" s="17">
        <f t="shared" si="0"/>
        <v>3.08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563931-F3DF-44E4-92AD-D645175D02C3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3920.17</v>
      </c>
      <c r="D5" s="2">
        <v>4139.9399999999996</v>
      </c>
      <c r="E5" s="2">
        <v>2833.03</v>
      </c>
      <c r="F5" s="2">
        <v>2699.21</v>
      </c>
      <c r="G5" s="2">
        <v>3230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3920.17</v>
      </c>
      <c r="D7" s="2">
        <v>4139.9399999999996</v>
      </c>
      <c r="E7" s="2">
        <v>2833.03</v>
      </c>
      <c r="F7" s="2">
        <v>2699.21</v>
      </c>
      <c r="G7" s="2">
        <v>3230</v>
      </c>
      <c r="H7" t="s">
        <v>1</v>
      </c>
    </row>
    <row r="8" spans="1:8" x14ac:dyDescent="0.25">
      <c r="B8" t="s">
        <v>58</v>
      </c>
      <c r="C8" s="2">
        <v>3936.9</v>
      </c>
      <c r="D8" s="2">
        <v>4158.38</v>
      </c>
      <c r="E8" s="2">
        <v>2843.99</v>
      </c>
      <c r="F8" s="2">
        <v>2708.3</v>
      </c>
      <c r="G8" s="2">
        <v>3230</v>
      </c>
      <c r="H8" t="s">
        <v>1</v>
      </c>
    </row>
    <row r="9" spans="1:8" x14ac:dyDescent="0.25">
      <c r="A9" t="s">
        <v>59</v>
      </c>
      <c r="B9" t="s">
        <v>59</v>
      </c>
      <c r="C9">
        <v>120.23</v>
      </c>
      <c r="D9">
        <v>21.02</v>
      </c>
      <c r="E9">
        <v>38.81</v>
      </c>
      <c r="F9">
        <v>132.27000000000001</v>
      </c>
      <c r="G9">
        <v>20</v>
      </c>
      <c r="H9" t="s">
        <v>1</v>
      </c>
    </row>
    <row r="10" spans="1:8" x14ac:dyDescent="0.25">
      <c r="B10" t="s">
        <v>60</v>
      </c>
      <c r="C10" s="2">
        <v>4057.13</v>
      </c>
      <c r="D10" s="2">
        <v>4179.3999999999996</v>
      </c>
      <c r="E10" s="2">
        <v>2882.8</v>
      </c>
      <c r="F10" s="2">
        <v>2840.57</v>
      </c>
      <c r="G10" s="2">
        <v>3250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867.53</v>
      </c>
      <c r="D12">
        <v>854.18</v>
      </c>
      <c r="E12">
        <v>621.72</v>
      </c>
      <c r="F12">
        <v>682.43</v>
      </c>
      <c r="G12">
        <v>612</v>
      </c>
      <c r="H12" t="s">
        <v>1</v>
      </c>
    </row>
    <row r="13" spans="1:8" x14ac:dyDescent="0.25">
      <c r="B13" t="s">
        <v>63</v>
      </c>
      <c r="C13">
        <v>751.47</v>
      </c>
      <c r="D13">
        <v>919.09</v>
      </c>
      <c r="E13">
        <v>507.7</v>
      </c>
      <c r="F13">
        <v>579.9</v>
      </c>
      <c r="G13">
        <v>568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>
        <v>178.53</v>
      </c>
      <c r="D15">
        <v>41.36</v>
      </c>
      <c r="E15">
        <v>74.03</v>
      </c>
      <c r="F15">
        <v>-126.84</v>
      </c>
      <c r="G15">
        <v>87</v>
      </c>
      <c r="H15" t="s">
        <v>1</v>
      </c>
    </row>
    <row r="16" spans="1:8" x14ac:dyDescent="0.25">
      <c r="A16" t="s">
        <v>99</v>
      </c>
      <c r="B16" t="s">
        <v>66</v>
      </c>
      <c r="C16">
        <v>937.06</v>
      </c>
      <c r="D16">
        <v>936.9</v>
      </c>
      <c r="E16">
        <v>743.33</v>
      </c>
      <c r="F16">
        <v>762.95</v>
      </c>
      <c r="G16">
        <v>749</v>
      </c>
      <c r="H16" t="s">
        <v>1</v>
      </c>
    </row>
    <row r="17" spans="1:8" x14ac:dyDescent="0.25">
      <c r="A17" t="s">
        <v>100</v>
      </c>
      <c r="B17" t="s">
        <v>67</v>
      </c>
      <c r="C17">
        <v>255.49</v>
      </c>
      <c r="D17">
        <v>264.89</v>
      </c>
      <c r="E17">
        <v>275.74</v>
      </c>
      <c r="F17">
        <v>249.08</v>
      </c>
      <c r="G17">
        <v>299</v>
      </c>
      <c r="H17" t="s">
        <v>1</v>
      </c>
    </row>
    <row r="18" spans="1:8" x14ac:dyDescent="0.25">
      <c r="A18" t="s">
        <v>101</v>
      </c>
      <c r="B18" t="s">
        <v>68</v>
      </c>
      <c r="C18">
        <v>149.53</v>
      </c>
      <c r="D18">
        <v>166.04</v>
      </c>
      <c r="E18">
        <v>224.14</v>
      </c>
      <c r="F18">
        <v>246.02</v>
      </c>
      <c r="G18">
        <v>247</v>
      </c>
      <c r="H18" t="s">
        <v>1</v>
      </c>
    </row>
    <row r="19" spans="1:8" x14ac:dyDescent="0.25">
      <c r="A19" t="s">
        <v>99</v>
      </c>
      <c r="B19" t="s">
        <v>69</v>
      </c>
      <c r="C19">
        <v>1200.48</v>
      </c>
      <c r="D19">
        <v>1297.26</v>
      </c>
      <c r="E19">
        <v>778.18</v>
      </c>
      <c r="F19" s="2">
        <v>872.89</v>
      </c>
      <c r="G19" s="2">
        <v>916</v>
      </c>
      <c r="H19" t="s">
        <v>1</v>
      </c>
    </row>
    <row r="20" spans="1:8" x14ac:dyDescent="0.25">
      <c r="B20" t="s">
        <v>70</v>
      </c>
      <c r="C20" s="2">
        <v>4340.09</v>
      </c>
      <c r="D20" s="2">
        <v>4479.72</v>
      </c>
      <c r="E20" s="2">
        <v>3224.84</v>
      </c>
      <c r="F20" s="2">
        <v>3266.43</v>
      </c>
      <c r="G20" s="2">
        <v>3478</v>
      </c>
      <c r="H20" t="s">
        <v>1</v>
      </c>
    </row>
    <row r="21" spans="1:8" x14ac:dyDescent="0.25">
      <c r="B21" t="s">
        <v>71</v>
      </c>
      <c r="C21">
        <v>-282.95999999999998</v>
      </c>
      <c r="D21">
        <v>-300.32</v>
      </c>
      <c r="E21">
        <v>-342.04</v>
      </c>
      <c r="F21">
        <v>-425.86</v>
      </c>
      <c r="G21">
        <v>-228</v>
      </c>
      <c r="H21" t="s">
        <v>1</v>
      </c>
    </row>
    <row r="22" spans="1:8" x14ac:dyDescent="0.25">
      <c r="A22" t="s">
        <v>102</v>
      </c>
      <c r="B22" t="s">
        <v>72</v>
      </c>
      <c r="C22">
        <v>-358.19</v>
      </c>
      <c r="D22" s="2">
        <v>0</v>
      </c>
      <c r="E22">
        <v>0</v>
      </c>
      <c r="F22">
        <v>1327.84</v>
      </c>
      <c r="G22">
        <v>-183</v>
      </c>
      <c r="H22" t="s">
        <v>1</v>
      </c>
    </row>
    <row r="23" spans="1:8" x14ac:dyDescent="0.25">
      <c r="B23" t="s">
        <v>73</v>
      </c>
      <c r="C23">
        <v>-641.15</v>
      </c>
      <c r="D23">
        <v>-300.32</v>
      </c>
      <c r="E23">
        <v>-342.04</v>
      </c>
      <c r="F23">
        <v>901.98</v>
      </c>
      <c r="G23">
        <v>-411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50.79</v>
      </c>
      <c r="D25">
        <v>9.17</v>
      </c>
      <c r="E25">
        <v>-48.42</v>
      </c>
      <c r="F25">
        <v>-120.82</v>
      </c>
      <c r="G25">
        <v>-132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-25.09</v>
      </c>
      <c r="D27">
        <v>-92.83</v>
      </c>
      <c r="E27">
        <v>-159.36000000000001</v>
      </c>
      <c r="F27">
        <v>-150.79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25.7</v>
      </c>
      <c r="D29">
        <v>-83.66</v>
      </c>
      <c r="E29">
        <v>-204.09</v>
      </c>
      <c r="F29">
        <v>-271.61</v>
      </c>
      <c r="G29">
        <v>-132</v>
      </c>
      <c r="H29" t="s">
        <v>1</v>
      </c>
    </row>
    <row r="30" spans="1:8" x14ac:dyDescent="0.25">
      <c r="B30" t="s">
        <v>80</v>
      </c>
      <c r="C30">
        <v>-666.85</v>
      </c>
      <c r="D30" s="2">
        <v>-216.66</v>
      </c>
      <c r="E30">
        <v>-137.94999999999999</v>
      </c>
      <c r="F30">
        <v>1173.5899999999999</v>
      </c>
      <c r="G30">
        <v>-279</v>
      </c>
      <c r="H30" t="s">
        <v>1</v>
      </c>
    </row>
    <row r="31" spans="1:8" x14ac:dyDescent="0.25">
      <c r="B31" t="s">
        <v>81</v>
      </c>
      <c r="C31">
        <v>-666.85</v>
      </c>
      <c r="D31" s="2">
        <v>-216.66</v>
      </c>
      <c r="E31">
        <v>-137.94999999999999</v>
      </c>
      <c r="F31">
        <v>1173.5899999999999</v>
      </c>
      <c r="G31">
        <v>-279</v>
      </c>
      <c r="H31" t="s">
        <v>1</v>
      </c>
    </row>
    <row r="32" spans="1:8" x14ac:dyDescent="0.25">
      <c r="B32" t="s">
        <v>82</v>
      </c>
      <c r="C32">
        <v>-666.85</v>
      </c>
      <c r="D32">
        <v>-216.66</v>
      </c>
      <c r="E32">
        <v>-43.39</v>
      </c>
      <c r="F32">
        <v>688.6</v>
      </c>
      <c r="G32">
        <v>-279</v>
      </c>
      <c r="H32" t="s">
        <v>1</v>
      </c>
    </row>
    <row r="33" spans="1:8" x14ac:dyDescent="0.25">
      <c r="B33" t="s">
        <v>10</v>
      </c>
      <c r="C33">
        <v>58.55</v>
      </c>
      <c r="D33">
        <v>22.13</v>
      </c>
      <c r="E33">
        <v>-25.83</v>
      </c>
      <c r="F33">
        <v>-2.54</v>
      </c>
      <c r="G33">
        <v>35</v>
      </c>
      <c r="H33" t="s">
        <v>1</v>
      </c>
    </row>
    <row r="34" spans="1:8" x14ac:dyDescent="0.25">
      <c r="B34" t="s">
        <v>83</v>
      </c>
      <c r="C34">
        <v>-608.29999999999995</v>
      </c>
      <c r="D34">
        <v>-194.53</v>
      </c>
      <c r="E34">
        <v>-69.22</v>
      </c>
      <c r="F34">
        <v>686.06</v>
      </c>
      <c r="G34">
        <v>-244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-55</v>
      </c>
      <c r="D37">
        <v>-18</v>
      </c>
      <c r="E37">
        <v>-6</v>
      </c>
      <c r="F37">
        <v>62</v>
      </c>
      <c r="G37">
        <v>-20</v>
      </c>
      <c r="H37" t="s">
        <v>1</v>
      </c>
    </row>
    <row r="38" spans="1:8" x14ac:dyDescent="0.25">
      <c r="B38" t="s">
        <v>86</v>
      </c>
      <c r="C38">
        <v>-55</v>
      </c>
      <c r="D38">
        <v>-18</v>
      </c>
      <c r="E38">
        <v>-6</v>
      </c>
      <c r="F38">
        <v>62</v>
      </c>
      <c r="G38">
        <v>-20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0</v>
      </c>
      <c r="D40">
        <v>0</v>
      </c>
      <c r="E40">
        <v>0</v>
      </c>
      <c r="F40">
        <v>0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BA2A3-F3CA-4E54-9594-CB93A292893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885.80000000000041</v>
      </c>
      <c r="D6" s="16">
        <f>'Income Statement'!D19</f>
        <v>906.57999999999993</v>
      </c>
      <c r="E6" s="16">
        <f>'Income Statement'!E19</f>
        <v>504.47000000000014</v>
      </c>
      <c r="F6" s="16">
        <f>'Income Statement'!F19</f>
        <v>267.19000000000005</v>
      </c>
      <c r="G6" s="16">
        <f>'Income Statement'!G19</f>
        <v>726</v>
      </c>
    </row>
    <row r="7" spans="2:7" ht="18.75" x14ac:dyDescent="0.25">
      <c r="B7" s="15" t="str">
        <f>'Income Statement'!B20</f>
        <v>Finance Costs</v>
      </c>
      <c r="C7" s="16">
        <f>'Income Statement'!C20</f>
        <v>255.49</v>
      </c>
      <c r="D7" s="16">
        <f>'Income Statement'!D20</f>
        <v>264.89</v>
      </c>
      <c r="E7" s="16">
        <f>'Income Statement'!E20</f>
        <v>275.74</v>
      </c>
      <c r="F7" s="16">
        <f>'Income Statement'!F20</f>
        <v>249.08</v>
      </c>
      <c r="G7" s="16">
        <f>'Income Statement'!G20</f>
        <v>299</v>
      </c>
    </row>
    <row r="8" spans="2:7" ht="18.75" x14ac:dyDescent="0.25">
      <c r="B8" s="17" t="s">
        <v>173</v>
      </c>
      <c r="C8" s="17">
        <f>ROUND(C6/C7, 2)</f>
        <v>3.47</v>
      </c>
      <c r="D8" s="17">
        <f t="shared" ref="D8:G8" si="0">ROUND(D6/D7, 2)</f>
        <v>3.42</v>
      </c>
      <c r="E8" s="17">
        <f t="shared" si="0"/>
        <v>1.83</v>
      </c>
      <c r="F8" s="17">
        <f t="shared" si="0"/>
        <v>1.07</v>
      </c>
      <c r="G8" s="17">
        <f t="shared" si="0"/>
        <v>2.4300000000000002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0D892-F418-498E-B120-3B412C6CB8B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867.53</v>
      </c>
      <c r="D6" s="16">
        <f>'Income Statement'!D11</f>
        <v>854.18</v>
      </c>
      <c r="E6" s="16">
        <f>'Income Statement'!E11</f>
        <v>621.72</v>
      </c>
      <c r="F6" s="16">
        <f>'Income Statement'!F11</f>
        <v>682.43</v>
      </c>
      <c r="G6" s="16">
        <f>'Income Statement'!G11</f>
        <v>612</v>
      </c>
    </row>
    <row r="7" spans="2:7" ht="18.75" x14ac:dyDescent="0.25">
      <c r="B7" s="15" t="str">
        <f>'Income Statement'!B7</f>
        <v>Net Sales</v>
      </c>
      <c r="C7" s="16">
        <f>'Income Statement'!C7</f>
        <v>3920.17</v>
      </c>
      <c r="D7" s="16">
        <f>'Income Statement'!D7</f>
        <v>4139.9399999999996</v>
      </c>
      <c r="E7" s="16">
        <f>'Income Statement'!E7</f>
        <v>2833.03</v>
      </c>
      <c r="F7" s="16">
        <f>'Income Statement'!F7</f>
        <v>2699.21</v>
      </c>
      <c r="G7" s="16">
        <f>'Income Statement'!G7</f>
        <v>3230</v>
      </c>
    </row>
    <row r="8" spans="2:7" ht="18.75" x14ac:dyDescent="0.25">
      <c r="B8" s="17" t="s">
        <v>175</v>
      </c>
      <c r="C8" s="17">
        <f>ROUND(C6/C7, 2)</f>
        <v>0.22</v>
      </c>
      <c r="D8" s="17">
        <f t="shared" ref="D8:G8" si="0">ROUND(D6/D7, 2)</f>
        <v>0.21</v>
      </c>
      <c r="E8" s="17">
        <f t="shared" si="0"/>
        <v>0.22</v>
      </c>
      <c r="F8" s="17">
        <f t="shared" si="0"/>
        <v>0.25</v>
      </c>
      <c r="G8" s="17">
        <f t="shared" si="0"/>
        <v>0.19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A049D-592B-492F-BC58-D78A79441AC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2.28515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1082.25</v>
      </c>
      <c r="D6" s="16">
        <f>'Balance Sheet'!D38</f>
        <v>2649.7799999999997</v>
      </c>
      <c r="E6" s="16">
        <f>'Balance Sheet'!E38</f>
        <v>3620.6</v>
      </c>
      <c r="F6" s="16">
        <f>'Balance Sheet'!F38</f>
        <v>4859.34</v>
      </c>
      <c r="G6" s="16">
        <f>'Balance Sheet'!G38</f>
        <v>4351.76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867.53</v>
      </c>
      <c r="D7" s="16">
        <f>'Income Statement'!D11</f>
        <v>854.18</v>
      </c>
      <c r="E7" s="16">
        <f>'Income Statement'!E11</f>
        <v>621.72</v>
      </c>
      <c r="F7" s="16">
        <f>'Income Statement'!F11</f>
        <v>682.43</v>
      </c>
      <c r="G7" s="16">
        <f>'Income Statement'!G11</f>
        <v>612</v>
      </c>
    </row>
    <row r="8" spans="2:7" ht="18.75" x14ac:dyDescent="0.25">
      <c r="B8" s="17" t="s">
        <v>177</v>
      </c>
      <c r="C8" s="17">
        <f>ROUND(C6/C7*365, 2)</f>
        <v>455.34</v>
      </c>
      <c r="D8" s="17">
        <f t="shared" ref="D8:G8" si="0">ROUND(D6/D7*365, 2)</f>
        <v>1132.28</v>
      </c>
      <c r="E8" s="17">
        <f t="shared" si="0"/>
        <v>2125.59</v>
      </c>
      <c r="F8" s="17">
        <f t="shared" si="0"/>
        <v>2599.0300000000002</v>
      </c>
      <c r="G8" s="17">
        <f t="shared" si="0"/>
        <v>2595.41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633E5-44B6-43A9-98C5-C574A3731C0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4" width="12.28515625" bestFit="1" customWidth="1"/>
    <col min="5" max="5" width="11.5703125" bestFit="1" customWidth="1"/>
    <col min="6" max="7" width="12.28515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1082.25</v>
      </c>
      <c r="D6" s="16">
        <f>'Balance Sheet'!D38</f>
        <v>2649.7799999999997</v>
      </c>
      <c r="E6" s="16">
        <f>'Balance Sheet'!E38</f>
        <v>3620.6</v>
      </c>
      <c r="F6" s="16">
        <f>'Balance Sheet'!F38</f>
        <v>4859.34</v>
      </c>
      <c r="G6" s="16">
        <f>'Balance Sheet'!G38</f>
        <v>4351.76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1082.25</v>
      </c>
      <c r="D8" s="17">
        <f t="shared" ref="D8:G8" si="0">ROUND(D6/D7*365, 2)</f>
        <v>2649.78</v>
      </c>
      <c r="E8" s="17">
        <f t="shared" si="0"/>
        <v>3620.6</v>
      </c>
      <c r="F8" s="17">
        <f t="shared" si="0"/>
        <v>4859.34</v>
      </c>
      <c r="G8" s="17">
        <f t="shared" si="0"/>
        <v>4351.76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B47863-2B5B-412D-B36E-6CFC2ACABB9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Sheet'!B40</f>
        <v>Total Assets</v>
      </c>
      <c r="C7" s="16">
        <f>'Balance Sheet'!C40</f>
        <v>8162.04</v>
      </c>
      <c r="D7" s="16">
        <f>'Balance Sheet'!D40</f>
        <v>8499.869999999999</v>
      </c>
      <c r="E7" s="16">
        <f>'Balance Sheet'!E40</f>
        <v>9517.61</v>
      </c>
      <c r="F7" s="16">
        <f>'Balance Sheet'!F40</f>
        <v>10023.879999999999</v>
      </c>
      <c r="G7" s="16">
        <f>'Balance Sheet'!G40</f>
        <v>10414.560000000001</v>
      </c>
    </row>
    <row r="8" spans="2:7" ht="18.75" x14ac:dyDescent="0.25">
      <c r="B8" s="17" t="s">
        <v>182</v>
      </c>
      <c r="C8" s="17">
        <f>ROUND(C6/C7, 2)</f>
        <v>0.48</v>
      </c>
      <c r="D8" s="17">
        <f t="shared" ref="D8:G8" si="0">ROUND(D6/D7, 2)</f>
        <v>0.49</v>
      </c>
      <c r="E8" s="17">
        <f t="shared" si="0"/>
        <v>0.3</v>
      </c>
      <c r="F8" s="17">
        <f t="shared" si="0"/>
        <v>0.27</v>
      </c>
      <c r="G8" s="17">
        <f t="shared" si="0"/>
        <v>0.31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3C032-6CD4-4C0C-B3AB-0333ECA50E3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Sheet'!B36</f>
        <v>Inventories</v>
      </c>
      <c r="C7" s="16">
        <f>'Balance Sheet'!C36</f>
        <v>855.71</v>
      </c>
      <c r="D7" s="16">
        <f>'Balance Sheet'!D36</f>
        <v>819.36</v>
      </c>
      <c r="E7" s="16">
        <f>'Balance Sheet'!E36</f>
        <v>689.83</v>
      </c>
      <c r="F7" s="16">
        <f>'Balance Sheet'!F36</f>
        <v>798.88</v>
      </c>
      <c r="G7" s="16">
        <f>'Balance Sheet'!G36</f>
        <v>769</v>
      </c>
    </row>
    <row r="8" spans="2:7" ht="18.75" x14ac:dyDescent="0.25">
      <c r="B8" s="17" t="s">
        <v>184</v>
      </c>
      <c r="C8" s="17">
        <f>ROUND(C6/C7, 2)</f>
        <v>4.58</v>
      </c>
      <c r="D8" s="17">
        <f t="shared" ref="D8:G8" si="0">ROUND(D6/D7, 2)</f>
        <v>5.05</v>
      </c>
      <c r="E8" s="17">
        <f t="shared" si="0"/>
        <v>4.1100000000000003</v>
      </c>
      <c r="F8" s="17">
        <f t="shared" si="0"/>
        <v>3.38</v>
      </c>
      <c r="G8" s="17">
        <f t="shared" si="0"/>
        <v>4.2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F6469-8BBC-404C-A7BA-4F6A6EA1AD0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Sheet'!B37</f>
        <v>Trade Receivables</v>
      </c>
      <c r="C7" s="16">
        <f>'Balance Sheet'!C37</f>
        <v>962.45</v>
      </c>
      <c r="D7" s="16">
        <f>'Balance Sheet'!D37</f>
        <v>1260.69</v>
      </c>
      <c r="E7" s="16">
        <f>'Balance Sheet'!E37</f>
        <v>1242.69</v>
      </c>
      <c r="F7" s="16">
        <f>'Balance Sheet'!F37</f>
        <v>917.65</v>
      </c>
      <c r="G7" s="16">
        <f>'Balance Sheet'!G37</f>
        <v>918</v>
      </c>
    </row>
    <row r="8" spans="2:7" ht="18.75" x14ac:dyDescent="0.25">
      <c r="B8" s="17" t="s">
        <v>186</v>
      </c>
      <c r="C8" s="17">
        <f>ROUND(C6/C7, 2)</f>
        <v>4.07</v>
      </c>
      <c r="D8" s="17">
        <f t="shared" ref="D8:G8" si="0">ROUND(D6/D7, 2)</f>
        <v>3.28</v>
      </c>
      <c r="E8" s="17">
        <f t="shared" si="0"/>
        <v>2.2799999999999998</v>
      </c>
      <c r="F8" s="17">
        <f t="shared" si="0"/>
        <v>2.94</v>
      </c>
      <c r="G8" s="17">
        <f t="shared" si="0"/>
        <v>3.52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FEB21-598A-4B32-8E61-8C85B69C135B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Sheet'!B23</f>
        <v>Tangible Assets</v>
      </c>
      <c r="C7" s="16">
        <f>'Balance Sheet'!C23</f>
        <v>1947.92</v>
      </c>
      <c r="D7" s="16">
        <f>'Balance Sheet'!D23</f>
        <v>2124.5</v>
      </c>
      <c r="E7" s="16">
        <f>'Balance Sheet'!E23</f>
        <v>2478.89</v>
      </c>
      <c r="F7" s="16">
        <f>'Balance Sheet'!F23</f>
        <v>2311.4499999999998</v>
      </c>
      <c r="G7" s="16">
        <f>'Balance Sheet'!G23</f>
        <v>3913</v>
      </c>
    </row>
    <row r="8" spans="2:7" ht="18.75" x14ac:dyDescent="0.25">
      <c r="B8" s="17" t="s">
        <v>188</v>
      </c>
      <c r="C8" s="17">
        <f>ROUND(C6/C7, 2)</f>
        <v>2.0099999999999998</v>
      </c>
      <c r="D8" s="17">
        <f t="shared" ref="D8:G8" si="0">ROUND(D6/D7, 2)</f>
        <v>1.95</v>
      </c>
      <c r="E8" s="17">
        <f t="shared" si="0"/>
        <v>1.1399999999999999</v>
      </c>
      <c r="F8" s="17">
        <f t="shared" si="0"/>
        <v>1.17</v>
      </c>
      <c r="G8" s="17">
        <f t="shared" si="0"/>
        <v>0.83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E392D-8488-4B83-8126-AC9FE0AE4137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867.53</v>
      </c>
      <c r="D6" s="16">
        <f>'Income Statement'!D11</f>
        <v>854.18</v>
      </c>
      <c r="E6" s="16">
        <f>'Income Statement'!E11</f>
        <v>621.72</v>
      </c>
      <c r="F6" s="16">
        <f>'Income Statement'!F11</f>
        <v>682.43</v>
      </c>
      <c r="G6" s="16">
        <f>'Income Statement'!G11</f>
        <v>612</v>
      </c>
    </row>
    <row r="7" spans="2:7" ht="18.75" x14ac:dyDescent="0.25">
      <c r="B7" s="15" t="str">
        <f>'Balance Sheet'!B19</f>
        <v>Total Current Liabilities</v>
      </c>
      <c r="C7" s="16">
        <f>'Balance Sheet'!C19</f>
        <v>2319.5100000000002</v>
      </c>
      <c r="D7" s="16">
        <f>'Balance Sheet'!D19</f>
        <v>2342.2199999999998</v>
      </c>
      <c r="E7" s="16">
        <f>'Balance Sheet'!E19</f>
        <v>2945.44</v>
      </c>
      <c r="F7" s="16">
        <f>'Balance Sheet'!F19</f>
        <v>2415.0299999999997</v>
      </c>
      <c r="G7" s="16">
        <f>'Balance Sheet'!G19</f>
        <v>2151</v>
      </c>
    </row>
    <row r="8" spans="2:7" ht="18.75" x14ac:dyDescent="0.25">
      <c r="B8" s="17" t="s">
        <v>190</v>
      </c>
      <c r="C8" s="17">
        <f>ROUND(C6/C7, 2)</f>
        <v>0.37</v>
      </c>
      <c r="D8" s="17">
        <f t="shared" ref="D8:G8" si="0">ROUND(D6/D7, 2)</f>
        <v>0.36</v>
      </c>
      <c r="E8" s="17">
        <f t="shared" si="0"/>
        <v>0.21</v>
      </c>
      <c r="F8" s="17">
        <f t="shared" si="0"/>
        <v>0.28000000000000003</v>
      </c>
      <c r="G8" s="17">
        <f t="shared" si="0"/>
        <v>0.28000000000000003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FACA6-0FFC-4557-B608-F78F0EA1845A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Sheet'!B36</f>
        <v>Inventories</v>
      </c>
      <c r="C7" s="16">
        <f>'Balance Sheet'!C36</f>
        <v>855.71</v>
      </c>
      <c r="D7" s="16">
        <f>'Balance Sheet'!D36</f>
        <v>819.36</v>
      </c>
      <c r="E7" s="16">
        <f>'Balance Sheet'!E36</f>
        <v>689.83</v>
      </c>
      <c r="F7" s="16">
        <f>'Balance Sheet'!F36</f>
        <v>798.88</v>
      </c>
      <c r="G7" s="16">
        <f>'Balance Sheet'!G36</f>
        <v>769</v>
      </c>
    </row>
    <row r="8" spans="2:7" ht="18.75" x14ac:dyDescent="0.25">
      <c r="B8" s="17" t="s">
        <v>192</v>
      </c>
      <c r="C8" s="17">
        <f>ROUND(365/C6*C7, 2)</f>
        <v>79.67</v>
      </c>
      <c r="D8" s="17">
        <f t="shared" ref="D8:G8" si="0">ROUND(365/D6*D7, 2)</f>
        <v>72.239999999999995</v>
      </c>
      <c r="E8" s="17">
        <f t="shared" si="0"/>
        <v>88.88</v>
      </c>
      <c r="F8" s="17">
        <f t="shared" si="0"/>
        <v>108.03</v>
      </c>
      <c r="G8" s="17">
        <f t="shared" si="0"/>
        <v>86.9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0BC7F-4E26-4F69-8BE0-FB17FB4295E9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5" width="19.85546875" bestFit="1" customWidth="1"/>
    <col min="6" max="6" width="18.85546875" bestFit="1" customWidth="1"/>
    <col min="7" max="7" width="13.71093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3920.17</v>
      </c>
      <c r="D5" s="5">
        <v>4139.9399999999996</v>
      </c>
      <c r="E5" s="5">
        <v>2833.03</v>
      </c>
      <c r="F5" s="5">
        <v>2699.21</v>
      </c>
      <c r="G5" s="5">
        <v>3230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3920.17</v>
      </c>
      <c r="D7" s="7">
        <f t="shared" ref="D7:G7" si="0">D5 - D6</f>
        <v>4139.9399999999996</v>
      </c>
      <c r="E7" s="7">
        <f t="shared" si="0"/>
        <v>2833.03</v>
      </c>
      <c r="F7" s="7">
        <f t="shared" si="0"/>
        <v>2699.21</v>
      </c>
      <c r="G7" s="7">
        <f t="shared" si="0"/>
        <v>3230</v>
      </c>
    </row>
    <row r="8" spans="2:7" ht="18.75" x14ac:dyDescent="0.25">
      <c r="B8" s="8" t="s">
        <v>59</v>
      </c>
      <c r="C8" s="4">
        <v>120.23</v>
      </c>
      <c r="D8" s="4">
        <v>21.02</v>
      </c>
      <c r="E8" s="4">
        <v>38.81</v>
      </c>
      <c r="F8" s="4">
        <v>132.27000000000001</v>
      </c>
      <c r="G8" s="4">
        <v>20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4040.4</v>
      </c>
      <c r="D10" s="7">
        <f t="shared" ref="D10:G10" si="1">SUM(D7:D9)</f>
        <v>4160.96</v>
      </c>
      <c r="E10" s="7">
        <f t="shared" si="1"/>
        <v>2871.84</v>
      </c>
      <c r="F10" s="7">
        <f t="shared" si="1"/>
        <v>2831.48</v>
      </c>
      <c r="G10" s="7">
        <f t="shared" si="1"/>
        <v>3250</v>
      </c>
    </row>
    <row r="11" spans="2:7" ht="18.75" x14ac:dyDescent="0.25">
      <c r="B11" s="8" t="s">
        <v>62</v>
      </c>
      <c r="C11" s="4">
        <v>867.53</v>
      </c>
      <c r="D11" s="4">
        <v>854.18</v>
      </c>
      <c r="E11" s="4">
        <v>621.72</v>
      </c>
      <c r="F11" s="4">
        <v>682.43</v>
      </c>
      <c r="G11" s="4">
        <v>612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4">
        <v>937.06</v>
      </c>
      <c r="D13" s="4">
        <v>936.9</v>
      </c>
      <c r="E13" s="4">
        <v>743.33</v>
      </c>
      <c r="F13" s="4">
        <v>762.95</v>
      </c>
      <c r="G13" s="4">
        <v>749</v>
      </c>
    </row>
    <row r="14" spans="2:7" ht="18.75" x14ac:dyDescent="0.25">
      <c r="B14" s="8" t="s">
        <v>69</v>
      </c>
      <c r="C14" s="4">
        <v>1200.48</v>
      </c>
      <c r="D14" s="4">
        <v>1297.26</v>
      </c>
      <c r="E14" s="4">
        <v>778.18</v>
      </c>
      <c r="F14" s="5">
        <v>872.89</v>
      </c>
      <c r="G14" s="5">
        <v>916</v>
      </c>
    </row>
    <row r="15" spans="2:7" ht="18.75" x14ac:dyDescent="0.25">
      <c r="B15" s="9" t="s">
        <v>108</v>
      </c>
      <c r="C15" s="6">
        <f>C11+C12+C13+C14</f>
        <v>3005.0699999999997</v>
      </c>
      <c r="D15" s="6">
        <f t="shared" ref="D15:G15" si="2">D11+D12+D13+D14</f>
        <v>3088.34</v>
      </c>
      <c r="E15" s="6">
        <f t="shared" si="2"/>
        <v>2143.23</v>
      </c>
      <c r="F15" s="6">
        <f t="shared" si="2"/>
        <v>2318.27</v>
      </c>
      <c r="G15" s="6">
        <f t="shared" si="2"/>
        <v>2277</v>
      </c>
    </row>
    <row r="16" spans="2:7" ht="18.75" x14ac:dyDescent="0.25">
      <c r="B16" s="9" t="s">
        <v>109</v>
      </c>
      <c r="C16" s="7">
        <f xml:space="preserve"> C10-C15-C8</f>
        <v>915.10000000000036</v>
      </c>
      <c r="D16" s="7">
        <f t="shared" ref="D16:G16" si="3" xml:space="preserve"> D10-D15-D8</f>
        <v>1051.5999999999999</v>
      </c>
      <c r="E16" s="7">
        <f t="shared" si="3"/>
        <v>689.80000000000018</v>
      </c>
      <c r="F16" s="7">
        <f t="shared" si="3"/>
        <v>380.94000000000005</v>
      </c>
      <c r="G16" s="7">
        <f t="shared" si="3"/>
        <v>953</v>
      </c>
    </row>
    <row r="17" spans="2:7" ht="18.75" x14ac:dyDescent="0.25">
      <c r="B17" s="9" t="s">
        <v>110</v>
      </c>
      <c r="C17" s="7">
        <f xml:space="preserve"> C16+C8</f>
        <v>1035.3300000000004</v>
      </c>
      <c r="D17" s="7">
        <f t="shared" ref="D17:G17" si="4" xml:space="preserve"> D16+D8</f>
        <v>1072.6199999999999</v>
      </c>
      <c r="E17" s="7">
        <f t="shared" si="4"/>
        <v>728.61000000000013</v>
      </c>
      <c r="F17" s="7">
        <f t="shared" si="4"/>
        <v>513.21</v>
      </c>
      <c r="G17" s="7">
        <f t="shared" si="4"/>
        <v>973</v>
      </c>
    </row>
    <row r="18" spans="2:7" ht="18.75" x14ac:dyDescent="0.25">
      <c r="B18" s="8" t="s">
        <v>68</v>
      </c>
      <c r="C18" s="4">
        <v>149.53</v>
      </c>
      <c r="D18" s="4">
        <v>166.04</v>
      </c>
      <c r="E18" s="4">
        <v>224.14</v>
      </c>
      <c r="F18" s="4">
        <v>246.02</v>
      </c>
      <c r="G18" s="4">
        <v>247</v>
      </c>
    </row>
    <row r="19" spans="2:7" ht="18.75" x14ac:dyDescent="0.25">
      <c r="B19" s="9" t="s">
        <v>111</v>
      </c>
      <c r="C19" s="7">
        <f xml:space="preserve"> C17-C18</f>
        <v>885.80000000000041</v>
      </c>
      <c r="D19" s="7">
        <f t="shared" ref="D19:G19" si="5" xml:space="preserve"> D17-D18</f>
        <v>906.57999999999993</v>
      </c>
      <c r="E19" s="7">
        <f t="shared" si="5"/>
        <v>504.47000000000014</v>
      </c>
      <c r="F19" s="7">
        <f t="shared" si="5"/>
        <v>267.19000000000005</v>
      </c>
      <c r="G19" s="7">
        <f t="shared" si="5"/>
        <v>726</v>
      </c>
    </row>
    <row r="20" spans="2:7" ht="18.75" x14ac:dyDescent="0.25">
      <c r="B20" s="8" t="s">
        <v>67</v>
      </c>
      <c r="C20" s="4">
        <v>255.49</v>
      </c>
      <c r="D20" s="4">
        <v>264.89</v>
      </c>
      <c r="E20" s="4">
        <v>275.74</v>
      </c>
      <c r="F20" s="4">
        <v>249.08</v>
      </c>
      <c r="G20" s="4">
        <v>299</v>
      </c>
    </row>
    <row r="21" spans="2:7" ht="18.75" x14ac:dyDescent="0.25">
      <c r="B21" s="9" t="s">
        <v>112</v>
      </c>
      <c r="C21" s="7">
        <f xml:space="preserve"> C19-C20</f>
        <v>630.3100000000004</v>
      </c>
      <c r="D21" s="7">
        <f t="shared" ref="D21:G21" si="6" xml:space="preserve"> D19-D20</f>
        <v>641.68999999999994</v>
      </c>
      <c r="E21" s="7">
        <f t="shared" si="6"/>
        <v>228.73000000000013</v>
      </c>
      <c r="F21" s="7">
        <f t="shared" si="6"/>
        <v>18.110000000000042</v>
      </c>
      <c r="G21" s="7">
        <f t="shared" si="6"/>
        <v>427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630.3100000000004</v>
      </c>
      <c r="D23" s="7">
        <f t="shared" ref="D23:G23" si="7" xml:space="preserve"> D21+D22</f>
        <v>641.68999999999994</v>
      </c>
      <c r="E23" s="7">
        <f t="shared" si="7"/>
        <v>228.73000000000013</v>
      </c>
      <c r="F23" s="7">
        <f t="shared" si="7"/>
        <v>18.110000000000042</v>
      </c>
      <c r="G23" s="7">
        <f t="shared" si="7"/>
        <v>427</v>
      </c>
    </row>
    <row r="24" spans="2:7" ht="18.75" x14ac:dyDescent="0.25">
      <c r="B24" s="8" t="s">
        <v>72</v>
      </c>
      <c r="C24" s="4">
        <v>-358.19</v>
      </c>
      <c r="D24" s="5">
        <v>0</v>
      </c>
      <c r="E24" s="4">
        <v>0</v>
      </c>
      <c r="F24" s="4">
        <v>1327.84</v>
      </c>
      <c r="G24" s="4">
        <v>-183</v>
      </c>
    </row>
    <row r="25" spans="2:7" ht="18.75" x14ac:dyDescent="0.25">
      <c r="B25" s="9" t="s">
        <v>115</v>
      </c>
      <c r="C25" s="7">
        <f xml:space="preserve"> C23+C24</f>
        <v>272.1200000000004</v>
      </c>
      <c r="D25" s="7">
        <f t="shared" ref="D25:G25" si="8" xml:space="preserve"> D23+D24</f>
        <v>641.68999999999994</v>
      </c>
      <c r="E25" s="7">
        <f t="shared" si="8"/>
        <v>228.73000000000013</v>
      </c>
      <c r="F25" s="7">
        <f t="shared" si="8"/>
        <v>1345.95</v>
      </c>
      <c r="G25" s="7">
        <f t="shared" si="8"/>
        <v>244</v>
      </c>
    </row>
    <row r="26" spans="2:7" ht="18.75" x14ac:dyDescent="0.25">
      <c r="B26" s="8" t="s">
        <v>79</v>
      </c>
      <c r="C26" s="4">
        <v>25.7</v>
      </c>
      <c r="D26" s="4">
        <v>-83.66</v>
      </c>
      <c r="E26" s="4">
        <v>-204.09</v>
      </c>
      <c r="F26" s="4">
        <v>-271.61</v>
      </c>
      <c r="G26" s="4">
        <v>-132</v>
      </c>
    </row>
    <row r="27" spans="2:7" ht="18.75" x14ac:dyDescent="0.25">
      <c r="B27" s="9" t="s">
        <v>116</v>
      </c>
      <c r="C27" s="7">
        <f xml:space="preserve"> C25-C26</f>
        <v>246.42000000000041</v>
      </c>
      <c r="D27" s="7">
        <f t="shared" ref="D27:G27" si="9" xml:space="preserve"> D25-D26</f>
        <v>725.34999999999991</v>
      </c>
      <c r="E27" s="7">
        <f t="shared" si="9"/>
        <v>432.82000000000016</v>
      </c>
      <c r="F27" s="7">
        <f t="shared" si="9"/>
        <v>1617.56</v>
      </c>
      <c r="G27" s="7">
        <f t="shared" si="9"/>
        <v>376</v>
      </c>
    </row>
    <row r="28" spans="2:7" ht="18.75" x14ac:dyDescent="0.25">
      <c r="B28" s="8" t="s">
        <v>88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246.42000000000041</v>
      </c>
      <c r="D30" s="7">
        <f t="shared" ref="D30:G30" si="10" xml:space="preserve"> D27-D28-D29</f>
        <v>725.34999999999991</v>
      </c>
      <c r="E30" s="7">
        <f t="shared" si="10"/>
        <v>432.82000000000016</v>
      </c>
      <c r="F30" s="7">
        <f t="shared" si="10"/>
        <v>1617.56</v>
      </c>
      <c r="G30" s="7">
        <f t="shared" si="10"/>
        <v>376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-55</v>
      </c>
      <c r="D34" s="4">
        <v>-18</v>
      </c>
      <c r="E34" s="4">
        <v>-6</v>
      </c>
      <c r="F34" s="4">
        <v>62</v>
      </c>
      <c r="G34" s="4">
        <v>-20</v>
      </c>
    </row>
    <row r="35" spans="2:7" ht="18.75" x14ac:dyDescent="0.25">
      <c r="B35" s="8" t="s">
        <v>118</v>
      </c>
      <c r="C35" s="4">
        <f>C27/C34</f>
        <v>-4.4803636363636441</v>
      </c>
      <c r="D35" s="4">
        <f t="shared" ref="D35:G35" si="11">D27/D34</f>
        <v>-40.297222222222217</v>
      </c>
      <c r="E35" s="4">
        <f t="shared" si="11"/>
        <v>-72.136666666666699</v>
      </c>
      <c r="F35" s="4">
        <f t="shared" si="11"/>
        <v>26.089677419354839</v>
      </c>
      <c r="G35" s="4">
        <f t="shared" si="11"/>
        <v>-18.8</v>
      </c>
    </row>
  </sheetData>
  <mergeCells count="1">
    <mergeCell ref="B3:G3"/>
  </mergeCells>
  <pageMargins left="0.7" right="0.7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A3F346-9709-4A71-AB26-4988EEA01C66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2.28515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867.53</v>
      </c>
      <c r="D6" s="16">
        <f>'Income Statement'!D11</f>
        <v>854.18</v>
      </c>
      <c r="E6" s="16">
        <f>'Income Statement'!E11</f>
        <v>621.72</v>
      </c>
      <c r="F6" s="16">
        <f>'Income Statement'!F11</f>
        <v>682.43</v>
      </c>
      <c r="G6" s="16">
        <f>'Income Statement'!G11</f>
        <v>612</v>
      </c>
    </row>
    <row r="7" spans="2:7" ht="18.75" x14ac:dyDescent="0.25">
      <c r="B7" s="15" t="str">
        <f>'Balance Sheet'!B19</f>
        <v>Total Current Liabilities</v>
      </c>
      <c r="C7" s="16">
        <f>'Balance Sheet'!C19</f>
        <v>2319.5100000000002</v>
      </c>
      <c r="D7" s="16">
        <f>'Balance Sheet'!D19</f>
        <v>2342.2199999999998</v>
      </c>
      <c r="E7" s="16">
        <f>'Balance Sheet'!E19</f>
        <v>2945.44</v>
      </c>
      <c r="F7" s="16">
        <f>'Balance Sheet'!F19</f>
        <v>2415.0299999999997</v>
      </c>
      <c r="G7" s="16">
        <f>'Balance Sheet'!G19</f>
        <v>2151</v>
      </c>
    </row>
    <row r="8" spans="2:7" ht="18.75" x14ac:dyDescent="0.25">
      <c r="B8" s="17" t="s">
        <v>194</v>
      </c>
      <c r="C8" s="17">
        <f>ROUND(365/C6*C7, 2)</f>
        <v>975.9</v>
      </c>
      <c r="D8" s="17">
        <f t="shared" ref="D8:G8" si="0">ROUND(365/D6*D7, 2)</f>
        <v>1000.85</v>
      </c>
      <c r="E8" s="17">
        <f t="shared" si="0"/>
        <v>1729.21</v>
      </c>
      <c r="F8" s="17">
        <f t="shared" si="0"/>
        <v>1291.69</v>
      </c>
      <c r="G8" s="17">
        <f t="shared" si="0"/>
        <v>1282.8699999999999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8C741-5F3F-4630-A2BF-A7C4994AC5C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Sheet'!B37</f>
        <v>Trade Receivables</v>
      </c>
      <c r="C7" s="16">
        <f>'Balance Sheet'!C37</f>
        <v>962.45</v>
      </c>
      <c r="D7" s="16">
        <f>'Balance Sheet'!D37</f>
        <v>1260.69</v>
      </c>
      <c r="E7" s="16">
        <f>'Balance Sheet'!E37</f>
        <v>1242.69</v>
      </c>
      <c r="F7" s="16">
        <f>'Balance Sheet'!F37</f>
        <v>917.65</v>
      </c>
      <c r="G7" s="16">
        <f>'Balance Sheet'!G37</f>
        <v>918</v>
      </c>
    </row>
    <row r="8" spans="2:7" ht="18.75" x14ac:dyDescent="0.25">
      <c r="B8" s="17" t="s">
        <v>196</v>
      </c>
      <c r="C8" s="17">
        <f>ROUND(365/C6*C7, 2)</f>
        <v>89.61</v>
      </c>
      <c r="D8" s="17">
        <f t="shared" ref="D8:G8" si="0">ROUND(365/D6*D7, 2)</f>
        <v>111.15</v>
      </c>
      <c r="E8" s="17">
        <f t="shared" si="0"/>
        <v>160.1</v>
      </c>
      <c r="F8" s="17">
        <f t="shared" si="0"/>
        <v>124.09</v>
      </c>
      <c r="G8" s="17">
        <f t="shared" si="0"/>
        <v>103.74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DF44E-8FBD-4853-87C9-E35C19144B9C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Sheet'!B36</f>
        <v>Inventories</v>
      </c>
      <c r="C7" s="16">
        <f>'Balance Sheet'!C36</f>
        <v>855.71</v>
      </c>
      <c r="D7" s="16">
        <f>'Balance Sheet'!D36</f>
        <v>819.36</v>
      </c>
      <c r="E7" s="16">
        <f>'Balance Sheet'!E36</f>
        <v>689.83</v>
      </c>
      <c r="F7" s="16">
        <f>'Balance Sheet'!F36</f>
        <v>798.88</v>
      </c>
      <c r="G7" s="16">
        <f>'Balance Sheet'!G36</f>
        <v>769</v>
      </c>
    </row>
    <row r="8" spans="2:7" ht="18.75" x14ac:dyDescent="0.25">
      <c r="B8" s="15" t="s">
        <v>192</v>
      </c>
      <c r="C8" s="16">
        <f>ROUND(365/C6*C7, 2)</f>
        <v>79.67</v>
      </c>
      <c r="D8" s="16">
        <f t="shared" ref="D8:G8" si="0">ROUND(365/D6*D7, 2)</f>
        <v>72.239999999999995</v>
      </c>
      <c r="E8" s="16">
        <f t="shared" si="0"/>
        <v>88.88</v>
      </c>
      <c r="F8" s="16">
        <f t="shared" si="0"/>
        <v>108.03</v>
      </c>
      <c r="G8" s="16">
        <f t="shared" si="0"/>
        <v>86.9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867.53</v>
      </c>
      <c r="D9" s="16">
        <f>'Income Statement'!D11</f>
        <v>854.18</v>
      </c>
      <c r="E9" s="16">
        <f>'Income Statement'!E11</f>
        <v>621.72</v>
      </c>
      <c r="F9" s="16">
        <f>'Income Statement'!F11</f>
        <v>682.43</v>
      </c>
      <c r="G9" s="16">
        <f>'Income Statement'!G11</f>
        <v>612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2319.5100000000002</v>
      </c>
      <c r="D10" s="16">
        <f>'Balance Sheet'!D19</f>
        <v>2342.2199999999998</v>
      </c>
      <c r="E10" s="16">
        <f>'Balance Sheet'!E19</f>
        <v>2945.44</v>
      </c>
      <c r="F10" s="16">
        <f>'Balance Sheet'!F19</f>
        <v>2415.0299999999997</v>
      </c>
      <c r="G10" s="16">
        <f>'Balance Sheet'!G19</f>
        <v>2151</v>
      </c>
    </row>
    <row r="11" spans="2:7" ht="18.75" x14ac:dyDescent="0.25">
      <c r="B11" s="15" t="s">
        <v>194</v>
      </c>
      <c r="C11" s="16">
        <f>ROUND(365/C9*C10, 2)</f>
        <v>975.9</v>
      </c>
      <c r="D11" s="16">
        <f t="shared" ref="D11:G11" si="1">ROUND(365/D9*D10, 2)</f>
        <v>1000.85</v>
      </c>
      <c r="E11" s="16">
        <f t="shared" si="1"/>
        <v>1729.21</v>
      </c>
      <c r="F11" s="16">
        <f t="shared" si="1"/>
        <v>1291.69</v>
      </c>
      <c r="G11" s="16">
        <f t="shared" si="1"/>
        <v>1282.8699999999999</v>
      </c>
    </row>
    <row r="12" spans="2:7" ht="18.75" x14ac:dyDescent="0.25">
      <c r="B12" s="17" t="s">
        <v>198</v>
      </c>
      <c r="C12" s="28">
        <f>ROUND(C11+C8, 2)</f>
        <v>1055.57</v>
      </c>
      <c r="D12" s="28">
        <f t="shared" ref="D12:G12" si="2">ROUND(D11+D8, 2)</f>
        <v>1073.0899999999999</v>
      </c>
      <c r="E12" s="28">
        <f t="shared" si="2"/>
        <v>1818.09</v>
      </c>
      <c r="F12" s="28">
        <f t="shared" si="2"/>
        <v>1399.72</v>
      </c>
      <c r="G12" s="28">
        <f t="shared" si="2"/>
        <v>1369.77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C02CD-5C94-4145-A8F2-BBB93C681319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3920.17</v>
      </c>
      <c r="D6" s="16">
        <f>'Income Statement'!D5</f>
        <v>4139.9399999999996</v>
      </c>
      <c r="E6" s="16">
        <f>'Income Statement'!E5</f>
        <v>2833.03</v>
      </c>
      <c r="F6" s="16">
        <f>'Income Statement'!F5</f>
        <v>2699.21</v>
      </c>
      <c r="G6" s="16">
        <f>'Income Statement'!G5</f>
        <v>3230</v>
      </c>
    </row>
    <row r="7" spans="2:7" ht="18.75" x14ac:dyDescent="0.25">
      <c r="B7" s="15" t="str">
        <f>'Balance Sheet'!B36</f>
        <v>Inventories</v>
      </c>
      <c r="C7" s="16">
        <f>'Balance Sheet'!C36</f>
        <v>855.71</v>
      </c>
      <c r="D7" s="16">
        <f>'Balance Sheet'!D36</f>
        <v>819.36</v>
      </c>
      <c r="E7" s="16">
        <f>'Balance Sheet'!E36</f>
        <v>689.83</v>
      </c>
      <c r="F7" s="16">
        <f>'Balance Sheet'!F36</f>
        <v>798.88</v>
      </c>
      <c r="G7" s="16">
        <f>'Balance Sheet'!G36</f>
        <v>769</v>
      </c>
    </row>
    <row r="8" spans="2:7" ht="18.75" x14ac:dyDescent="0.25">
      <c r="B8" s="15" t="s">
        <v>192</v>
      </c>
      <c r="C8" s="16">
        <f>ROUND(365/C6*C7, 2)</f>
        <v>79.67</v>
      </c>
      <c r="D8" s="16">
        <f t="shared" ref="D8:G8" si="0">ROUND(365/D6*D7, 2)</f>
        <v>72.239999999999995</v>
      </c>
      <c r="E8" s="16">
        <f t="shared" si="0"/>
        <v>88.88</v>
      </c>
      <c r="F8" s="16">
        <f t="shared" si="0"/>
        <v>108.03</v>
      </c>
      <c r="G8" s="16">
        <f t="shared" si="0"/>
        <v>86.9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867.53</v>
      </c>
      <c r="D9" s="16">
        <f>'Income Statement'!D11</f>
        <v>854.18</v>
      </c>
      <c r="E9" s="16">
        <f>'Income Statement'!E11</f>
        <v>621.72</v>
      </c>
      <c r="F9" s="16">
        <f>'Income Statement'!F11</f>
        <v>682.43</v>
      </c>
      <c r="G9" s="16">
        <f>'Income Statement'!G11</f>
        <v>612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2319.5100000000002</v>
      </c>
      <c r="D10" s="16">
        <f>'Balance Sheet'!D19</f>
        <v>2342.2199999999998</v>
      </c>
      <c r="E10" s="16">
        <f>'Balance Sheet'!E19</f>
        <v>2945.44</v>
      </c>
      <c r="F10" s="16">
        <f>'Balance Sheet'!F19</f>
        <v>2415.0299999999997</v>
      </c>
      <c r="G10" s="16">
        <f>'Balance Sheet'!G19</f>
        <v>2151</v>
      </c>
    </row>
    <row r="11" spans="2:7" ht="18.75" x14ac:dyDescent="0.25">
      <c r="B11" s="15" t="s">
        <v>194</v>
      </c>
      <c r="C11" s="16">
        <f>ROUND(365/C9*C10, 2)</f>
        <v>975.9</v>
      </c>
      <c r="D11" s="16">
        <f t="shared" ref="D11:G11" si="1">ROUND(365/D9*D10, 2)</f>
        <v>1000.85</v>
      </c>
      <c r="E11" s="16">
        <f t="shared" si="1"/>
        <v>1729.21</v>
      </c>
      <c r="F11" s="16">
        <f t="shared" si="1"/>
        <v>1291.69</v>
      </c>
      <c r="G11" s="16">
        <f t="shared" si="1"/>
        <v>1282.8699999999999</v>
      </c>
    </row>
    <row r="12" spans="2:7" ht="18.75" x14ac:dyDescent="0.25">
      <c r="B12" s="15" t="s">
        <v>200</v>
      </c>
      <c r="C12" s="16">
        <f>ROUND(C11+C8, 2)</f>
        <v>1055.57</v>
      </c>
      <c r="D12" s="16">
        <f t="shared" ref="D12:G12" si="2">ROUND(D11+D8, 2)</f>
        <v>1073.0899999999999</v>
      </c>
      <c r="E12" s="16">
        <f t="shared" si="2"/>
        <v>1818.09</v>
      </c>
      <c r="F12" s="16">
        <f t="shared" si="2"/>
        <v>1399.72</v>
      </c>
      <c r="G12" s="16">
        <f t="shared" si="2"/>
        <v>1369.77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867.53</v>
      </c>
      <c r="D13" s="16">
        <f>'Income Statement'!D11</f>
        <v>854.18</v>
      </c>
      <c r="E13" s="16">
        <f>'Income Statement'!E11</f>
        <v>621.72</v>
      </c>
      <c r="F13" s="16">
        <f>'Income Statement'!F11</f>
        <v>682.43</v>
      </c>
      <c r="G13" s="16">
        <f>'Income Statement'!G11</f>
        <v>612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2319.5100000000002</v>
      </c>
      <c r="D14" s="16">
        <f>'Balance Sheet'!D19</f>
        <v>2342.2199999999998</v>
      </c>
      <c r="E14" s="16">
        <f>'Balance Sheet'!E19</f>
        <v>2945.44</v>
      </c>
      <c r="F14" s="16">
        <f>'Balance Sheet'!F19</f>
        <v>2415.0299999999997</v>
      </c>
      <c r="G14" s="16">
        <f>'Balance Sheet'!G19</f>
        <v>2151</v>
      </c>
    </row>
    <row r="15" spans="2:7" ht="18.75" x14ac:dyDescent="0.25">
      <c r="B15" s="15" t="s">
        <v>194</v>
      </c>
      <c r="C15" s="16">
        <f>ROUND(365/C13*C14, 2)</f>
        <v>975.9</v>
      </c>
      <c r="D15" s="16">
        <f t="shared" ref="D15:G15" si="3">ROUND(365/D13*D14, 2)</f>
        <v>1000.85</v>
      </c>
      <c r="E15" s="16">
        <f t="shared" si="3"/>
        <v>1729.21</v>
      </c>
      <c r="F15" s="16">
        <f t="shared" si="3"/>
        <v>1291.69</v>
      </c>
      <c r="G15" s="16">
        <f t="shared" si="3"/>
        <v>1282.8699999999999</v>
      </c>
    </row>
    <row r="16" spans="2:7" ht="18.75" x14ac:dyDescent="0.25">
      <c r="B16" s="17" t="s">
        <v>201</v>
      </c>
      <c r="C16" s="28">
        <f>ROUND(C15-C12, 2)</f>
        <v>-79.67</v>
      </c>
      <c r="D16" s="28">
        <f t="shared" ref="D16:G16" si="4">ROUND(D15-D12, 2)</f>
        <v>-72.239999999999995</v>
      </c>
      <c r="E16" s="28">
        <f t="shared" si="4"/>
        <v>-88.88</v>
      </c>
      <c r="F16" s="28">
        <f t="shared" si="4"/>
        <v>-108.03</v>
      </c>
      <c r="G16" s="28">
        <f t="shared" si="4"/>
        <v>-86.9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55188-6EEF-4521-8FCC-6B4C2229901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2852.15</v>
      </c>
      <c r="D5" s="16">
        <f>'Balance Sheet'!D9</f>
        <v>3577.52</v>
      </c>
      <c r="E5" s="16">
        <f>'Balance Sheet'!E9</f>
        <v>4010.37</v>
      </c>
      <c r="F5" s="16">
        <f>'Balance Sheet'!F9</f>
        <v>5627.95</v>
      </c>
      <c r="G5" s="16">
        <f>'Balance Sheet'!G9</f>
        <v>6020.5599999999995</v>
      </c>
    </row>
    <row r="6" spans="2:7" ht="18.75" x14ac:dyDescent="0.25">
      <c r="B6" s="15" t="str">
        <f>'Balance Sheet'!B21</f>
        <v>Total Liabilities</v>
      </c>
      <c r="C6" s="16">
        <f>'Balance Sheet'!C21</f>
        <v>8162.0400000000009</v>
      </c>
      <c r="D6" s="16">
        <f>'Balance Sheet'!D21</f>
        <v>8499.869999999999</v>
      </c>
      <c r="E6" s="16">
        <f>'Balance Sheet'!E21</f>
        <v>9517.61</v>
      </c>
      <c r="F6" s="16">
        <f>'Balance Sheet'!F21</f>
        <v>10023.879999999999</v>
      </c>
      <c r="G6" s="16">
        <f>'Balance Sheet'!G21</f>
        <v>10414.56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A02A98-23BE-46C8-95E4-F6D6FDDC654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4" width="11.5703125" bestFit="1" customWidth="1"/>
    <col min="5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1035.3300000000004</v>
      </c>
      <c r="D5" s="16">
        <f>'Income Statement'!D17</f>
        <v>1072.6199999999999</v>
      </c>
      <c r="E5" s="16">
        <f>'Income Statement'!E17</f>
        <v>728.61000000000013</v>
      </c>
      <c r="F5" s="16">
        <f>'Income Statement'!F17</f>
        <v>513.21</v>
      </c>
      <c r="G5" s="16">
        <f>'Income Statement'!G17</f>
        <v>973</v>
      </c>
    </row>
    <row r="6" spans="2:7" ht="18.75" x14ac:dyDescent="0.25">
      <c r="B6" s="15" t="str">
        <f>'Income Statement'!B19</f>
        <v>PBIT</v>
      </c>
      <c r="C6" s="16">
        <f>'Income Statement'!C19</f>
        <v>885.80000000000041</v>
      </c>
      <c r="D6" s="16">
        <f>'Income Statement'!D19</f>
        <v>906.57999999999993</v>
      </c>
      <c r="E6" s="16">
        <f>'Income Statement'!E19</f>
        <v>504.47000000000014</v>
      </c>
      <c r="F6" s="16">
        <f>'Income Statement'!F19</f>
        <v>267.19000000000005</v>
      </c>
      <c r="G6" s="16">
        <f>'Income Statement'!G19</f>
        <v>726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61D93-D334-44EA-8139-A0CFD211F41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3627.8100000000004</v>
      </c>
      <c r="D5" s="16">
        <f>'Balance Sheet'!D39</f>
        <v>5528.37</v>
      </c>
      <c r="E5" s="16">
        <f>'Balance Sheet'!E39</f>
        <v>6443.7800000000007</v>
      </c>
      <c r="F5" s="16">
        <f>'Balance Sheet'!F39</f>
        <v>7617.73</v>
      </c>
      <c r="G5" s="16">
        <f>'Balance Sheet'!G39</f>
        <v>7384.76</v>
      </c>
    </row>
    <row r="6" spans="2:7" ht="18.75" x14ac:dyDescent="0.25">
      <c r="B6" s="15" t="str">
        <f>'Balance Sheet'!B19</f>
        <v>Total Current Liabilities</v>
      </c>
      <c r="C6" s="16">
        <f>'Balance Sheet'!C19</f>
        <v>2319.5100000000002</v>
      </c>
      <c r="D6" s="16">
        <f>'Balance Sheet'!D19</f>
        <v>2342.2199999999998</v>
      </c>
      <c r="E6" s="16">
        <f>'Balance Sheet'!E19</f>
        <v>2945.44</v>
      </c>
      <c r="F6" s="16">
        <f>'Balance Sheet'!F19</f>
        <v>2415.0299999999997</v>
      </c>
      <c r="G6" s="16">
        <f>'Balance Sheet'!G19</f>
        <v>2151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06B16-0AD3-4D91-84D3-97F8B82B599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4" width="8.42578125" bestFit="1" customWidth="1"/>
    <col min="5" max="5" width="10" bestFit="1" customWidth="1"/>
    <col min="6" max="7" width="8.42578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64.89</v>
      </c>
      <c r="D5" s="16">
        <f>'Balance Sheet'!D14</f>
        <v>53.48</v>
      </c>
      <c r="E5" s="16">
        <f>'Balance Sheet'!E14</f>
        <v>45.6</v>
      </c>
      <c r="F5" s="16">
        <f>'Balance Sheet'!F14</f>
        <v>84.37</v>
      </c>
      <c r="G5" s="16">
        <f>'Balance Sheet'!G14</f>
        <v>32</v>
      </c>
    </row>
    <row r="6" spans="2:7" ht="18.75" x14ac:dyDescent="0.25">
      <c r="B6" s="15" t="str">
        <f>'Balance Sheet'!B15</f>
        <v>Short Term Provisions</v>
      </c>
      <c r="C6" s="16">
        <f>'Balance Sheet'!C15</f>
        <v>44.58</v>
      </c>
      <c r="D6" s="16">
        <f>'Balance Sheet'!D15</f>
        <v>41.93</v>
      </c>
      <c r="E6" s="16">
        <f>'Balance Sheet'!E15</f>
        <v>117.28</v>
      </c>
      <c r="F6" s="16">
        <f>'Balance Sheet'!F15</f>
        <v>59.79</v>
      </c>
      <c r="G6" s="16">
        <f>'Balance Sheet'!G15</f>
        <v>37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A81C7-F3DC-46A7-8404-3EE22CEB12B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867.53</v>
      </c>
      <c r="D5" s="16">
        <f>'Income Statement'!D11</f>
        <v>854.18</v>
      </c>
      <c r="E5" s="16">
        <f>'Income Statement'!E11</f>
        <v>621.72</v>
      </c>
      <c r="F5" s="16">
        <f>'Income Statement'!F11</f>
        <v>682.43</v>
      </c>
      <c r="G5" s="16">
        <f>'Income Statement'!G11</f>
        <v>612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12982-651C-4C31-B94F-F978332B0B6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3920.17</v>
      </c>
      <c r="D5" s="16">
        <f>'Income Statement'!D5</f>
        <v>4139.9399999999996</v>
      </c>
      <c r="E5" s="16">
        <f>'Income Statement'!E5</f>
        <v>2833.03</v>
      </c>
      <c r="F5" s="16">
        <f>'Income Statement'!F5</f>
        <v>2699.21</v>
      </c>
      <c r="G5" s="16">
        <f>'Income Statement'!G5</f>
        <v>3230</v>
      </c>
    </row>
    <row r="6" spans="2:7" ht="18.75" x14ac:dyDescent="0.25">
      <c r="B6" s="15" t="str">
        <f>'Income Statement'!B10</f>
        <v>Total Income</v>
      </c>
      <c r="C6" s="16">
        <f>'Income Statement'!C10</f>
        <v>4040.4</v>
      </c>
      <c r="D6" s="16">
        <f>'Income Statement'!D10</f>
        <v>4160.96</v>
      </c>
      <c r="E6" s="16">
        <f>'Income Statement'!E10</f>
        <v>2871.84</v>
      </c>
      <c r="F6" s="16">
        <f>'Income Statement'!F10</f>
        <v>2831.48</v>
      </c>
      <c r="G6" s="16">
        <f>'Income Statement'!G10</f>
        <v>3250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3340A-BEC9-4BCA-B528-6A165210F251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5" width="13.7109375" bestFit="1" customWidth="1"/>
    <col min="6" max="7" width="15.425781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55.32</v>
      </c>
      <c r="D5" s="4">
        <v>55.34</v>
      </c>
      <c r="E5" s="4">
        <v>55.37</v>
      </c>
      <c r="F5" s="4">
        <v>55.39</v>
      </c>
      <c r="G5" s="4">
        <v>72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55.32</v>
      </c>
      <c r="D7" s="6">
        <f t="shared" ref="D7:G7" si="0">D5+D6</f>
        <v>55.34</v>
      </c>
      <c r="E7" s="6">
        <f t="shared" si="0"/>
        <v>55.37</v>
      </c>
      <c r="F7" s="6">
        <f t="shared" si="0"/>
        <v>55.39</v>
      </c>
      <c r="G7" s="6">
        <f t="shared" si="0"/>
        <v>72</v>
      </c>
    </row>
    <row r="8" spans="2:7" ht="18.75" x14ac:dyDescent="0.25">
      <c r="B8" s="8" t="s">
        <v>7</v>
      </c>
      <c r="C8" s="5">
        <v>2796.83</v>
      </c>
      <c r="D8" s="5">
        <f>'Income Statement'!D30+C8</f>
        <v>3522.18</v>
      </c>
      <c r="E8" s="5">
        <f>'Income Statement'!E30+D8</f>
        <v>3955</v>
      </c>
      <c r="F8" s="5">
        <f>'Income Statement'!F30+E8</f>
        <v>5572.5599999999995</v>
      </c>
      <c r="G8" s="5">
        <f>'Income Statement'!G30+F8</f>
        <v>5948.5599999999995</v>
      </c>
    </row>
    <row r="9" spans="2:7" ht="18.75" x14ac:dyDescent="0.25">
      <c r="B9" s="9" t="s">
        <v>122</v>
      </c>
      <c r="C9" s="7">
        <f>C7+C8</f>
        <v>2852.15</v>
      </c>
      <c r="D9" s="7">
        <f t="shared" ref="D9:G9" si="1">D7+D8</f>
        <v>3577.52</v>
      </c>
      <c r="E9" s="7">
        <f t="shared" si="1"/>
        <v>4010.37</v>
      </c>
      <c r="F9" s="7">
        <f t="shared" si="1"/>
        <v>5627.95</v>
      </c>
      <c r="G9" s="7">
        <f t="shared" si="1"/>
        <v>6020.5599999999995</v>
      </c>
    </row>
    <row r="10" spans="2:7" ht="18.75" x14ac:dyDescent="0.25">
      <c r="B10" s="8" t="s">
        <v>12</v>
      </c>
      <c r="C10" s="4">
        <v>2173.11</v>
      </c>
      <c r="D10" s="4">
        <v>1657.52</v>
      </c>
      <c r="E10" s="5">
        <v>1240.9000000000001</v>
      </c>
      <c r="F10" s="5">
        <v>502.85</v>
      </c>
      <c r="G10" s="5">
        <v>355</v>
      </c>
    </row>
    <row r="11" spans="2:7" ht="18.75" x14ac:dyDescent="0.25">
      <c r="B11" s="8" t="s">
        <v>13</v>
      </c>
      <c r="C11" s="4">
        <v>34.450000000000003</v>
      </c>
      <c r="D11" s="4">
        <v>31.07</v>
      </c>
      <c r="E11" s="4">
        <v>31.25</v>
      </c>
      <c r="F11" s="4">
        <v>28.45</v>
      </c>
      <c r="G11" s="4">
        <v>28</v>
      </c>
    </row>
    <row r="12" spans="2:7" ht="18.75" x14ac:dyDescent="0.25">
      <c r="B12" s="8" t="s">
        <v>18</v>
      </c>
      <c r="C12" s="5">
        <v>437.09</v>
      </c>
      <c r="D12" s="5">
        <v>561.71</v>
      </c>
      <c r="E12" s="4">
        <v>903.86</v>
      </c>
      <c r="F12" s="4">
        <v>1066.1099999999999</v>
      </c>
      <c r="G12" s="4">
        <v>1507</v>
      </c>
    </row>
    <row r="13" spans="2:7" ht="18.75" x14ac:dyDescent="0.25">
      <c r="B13" s="9" t="s">
        <v>123</v>
      </c>
      <c r="C13" s="7">
        <f>C10+C11+C12</f>
        <v>2644.65</v>
      </c>
      <c r="D13" s="7">
        <f t="shared" ref="D13:G13" si="2">D10+D11+D12</f>
        <v>2250.3000000000002</v>
      </c>
      <c r="E13" s="7">
        <f t="shared" si="2"/>
        <v>2176.0100000000002</v>
      </c>
      <c r="F13" s="7">
        <f t="shared" si="2"/>
        <v>1597.4099999999999</v>
      </c>
      <c r="G13" s="7">
        <f t="shared" si="2"/>
        <v>1890</v>
      </c>
    </row>
    <row r="14" spans="2:7" ht="18.75" x14ac:dyDescent="0.25">
      <c r="B14" s="8" t="s">
        <v>15</v>
      </c>
      <c r="C14" s="4">
        <v>64.89</v>
      </c>
      <c r="D14" s="4">
        <v>53.48</v>
      </c>
      <c r="E14" s="4">
        <v>45.6</v>
      </c>
      <c r="F14" s="4">
        <v>84.37</v>
      </c>
      <c r="G14" s="4">
        <v>32</v>
      </c>
    </row>
    <row r="15" spans="2:7" ht="18.75" x14ac:dyDescent="0.25">
      <c r="B15" s="8" t="s">
        <v>21</v>
      </c>
      <c r="C15" s="4">
        <v>44.58</v>
      </c>
      <c r="D15" s="4">
        <v>41.93</v>
      </c>
      <c r="E15" s="4">
        <v>117.28</v>
      </c>
      <c r="F15" s="4">
        <v>59.79</v>
      </c>
      <c r="G15" s="4">
        <v>37</v>
      </c>
    </row>
    <row r="16" spans="2:7" ht="18.75" x14ac:dyDescent="0.25">
      <c r="B16" s="8" t="s">
        <v>14</v>
      </c>
      <c r="C16" s="4">
        <v>0</v>
      </c>
      <c r="D16" s="4">
        <v>0</v>
      </c>
      <c r="E16" s="4">
        <v>306.52</v>
      </c>
      <c r="F16" s="4">
        <v>278.55</v>
      </c>
      <c r="G16" s="4">
        <v>419</v>
      </c>
    </row>
    <row r="17" spans="2:7" ht="18.75" x14ac:dyDescent="0.25">
      <c r="B17" s="8" t="s">
        <v>19</v>
      </c>
      <c r="C17" s="4">
        <v>601.78</v>
      </c>
      <c r="D17" s="4">
        <v>840.24</v>
      </c>
      <c r="E17" s="4">
        <v>895.27</v>
      </c>
      <c r="F17" s="4">
        <v>577.97</v>
      </c>
      <c r="G17" s="4">
        <v>921</v>
      </c>
    </row>
    <row r="18" spans="2:7" ht="18.75" x14ac:dyDescent="0.25">
      <c r="B18" s="8" t="s">
        <v>20</v>
      </c>
      <c r="C18" s="4">
        <v>1608.26</v>
      </c>
      <c r="D18" s="5">
        <v>1406.57</v>
      </c>
      <c r="E18" s="5">
        <v>1580.77</v>
      </c>
      <c r="F18" s="5">
        <v>1414.35</v>
      </c>
      <c r="G18" s="5">
        <v>742</v>
      </c>
    </row>
    <row r="19" spans="2:7" ht="18.75" x14ac:dyDescent="0.25">
      <c r="B19" s="9" t="s">
        <v>22</v>
      </c>
      <c r="C19" s="6">
        <f>C14+C15+C16+C17+C18</f>
        <v>2319.5100000000002</v>
      </c>
      <c r="D19" s="6">
        <f t="shared" ref="D19:G19" si="3">D14+D15+D16+D17+D18</f>
        <v>2342.2199999999998</v>
      </c>
      <c r="E19" s="6">
        <f t="shared" si="3"/>
        <v>2945.44</v>
      </c>
      <c r="F19" s="6">
        <f t="shared" si="3"/>
        <v>2415.0299999999997</v>
      </c>
      <c r="G19" s="6">
        <f t="shared" si="3"/>
        <v>2151</v>
      </c>
    </row>
    <row r="20" spans="2:7" ht="18.75" x14ac:dyDescent="0.25">
      <c r="B20" s="8" t="s">
        <v>10</v>
      </c>
      <c r="C20" s="4">
        <v>345.73</v>
      </c>
      <c r="D20" s="4">
        <v>329.83</v>
      </c>
      <c r="E20" s="4">
        <v>385.79</v>
      </c>
      <c r="F20" s="4">
        <v>383.49</v>
      </c>
      <c r="G20" s="4">
        <v>353</v>
      </c>
    </row>
    <row r="21" spans="2:7" ht="18.75" x14ac:dyDescent="0.25">
      <c r="B21" s="9" t="s">
        <v>124</v>
      </c>
      <c r="C21" s="7">
        <f>C9+C13+C19+C20</f>
        <v>8162.0400000000009</v>
      </c>
      <c r="D21" s="7">
        <f t="shared" ref="D21:G21" si="4">D9+D13+D19+D20</f>
        <v>8499.869999999999</v>
      </c>
      <c r="E21" s="7">
        <f t="shared" si="4"/>
        <v>9517.61</v>
      </c>
      <c r="F21" s="7">
        <f t="shared" si="4"/>
        <v>10023.879999999999</v>
      </c>
      <c r="G21" s="7">
        <f t="shared" si="4"/>
        <v>10414.56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1947.92</v>
      </c>
      <c r="D23" s="5">
        <v>2124.5</v>
      </c>
      <c r="E23" s="5">
        <v>2478.89</v>
      </c>
      <c r="F23" s="5">
        <v>2311.4499999999998</v>
      </c>
      <c r="G23" s="5">
        <v>3913</v>
      </c>
    </row>
    <row r="24" spans="2:7" ht="18.75" x14ac:dyDescent="0.25">
      <c r="B24" s="8" t="s">
        <v>27</v>
      </c>
      <c r="C24" s="4">
        <v>99.46</v>
      </c>
      <c r="D24" s="4">
        <v>112.87</v>
      </c>
      <c r="E24" s="4">
        <v>148.21</v>
      </c>
      <c r="F24" s="4">
        <v>127.63</v>
      </c>
      <c r="G24" s="4">
        <v>0</v>
      </c>
    </row>
    <row r="25" spans="2:7" ht="18.75" x14ac:dyDescent="0.25">
      <c r="B25" s="8" t="s">
        <v>125</v>
      </c>
      <c r="C25" s="4"/>
      <c r="D25" s="4">
        <f>'Income Statement'!D18</f>
        <v>166.04</v>
      </c>
      <c r="E25" s="4">
        <f>'Income Statement'!E18+D25</f>
        <v>390.17999999999995</v>
      </c>
      <c r="F25" s="4">
        <f>'Income Statement'!F18+E25</f>
        <v>636.19999999999993</v>
      </c>
      <c r="G25" s="4">
        <f>'Income Statement'!G18+F25</f>
        <v>883.19999999999993</v>
      </c>
    </row>
    <row r="26" spans="2:7" ht="18.75" x14ac:dyDescent="0.25">
      <c r="B26" s="9" t="s">
        <v>126</v>
      </c>
      <c r="C26" s="7">
        <f>C23+C24-C25</f>
        <v>2047.38</v>
      </c>
      <c r="D26" s="7">
        <f t="shared" ref="D26:G26" si="5">D23+D24-D25</f>
        <v>2071.33</v>
      </c>
      <c r="E26" s="7">
        <f t="shared" si="5"/>
        <v>2236.92</v>
      </c>
      <c r="F26" s="7">
        <f t="shared" si="5"/>
        <v>1802.88</v>
      </c>
      <c r="G26" s="7">
        <f t="shared" si="5"/>
        <v>3029.8</v>
      </c>
    </row>
    <row r="27" spans="2:7" ht="18.75" x14ac:dyDescent="0.25">
      <c r="B27" s="8" t="s">
        <v>30</v>
      </c>
      <c r="C27" s="4">
        <v>0.45</v>
      </c>
      <c r="D27" s="4">
        <v>0.45</v>
      </c>
      <c r="E27" s="4">
        <v>0.45</v>
      </c>
      <c r="F27" s="4">
        <v>0.45</v>
      </c>
      <c r="G27" s="4">
        <v>0</v>
      </c>
    </row>
    <row r="28" spans="2:7" ht="18.75" x14ac:dyDescent="0.25">
      <c r="B28" s="8" t="s">
        <v>36</v>
      </c>
      <c r="C28" s="4">
        <v>213.25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28</v>
      </c>
      <c r="C29" s="4">
        <v>2273.15</v>
      </c>
      <c r="D29" s="4">
        <v>899.72</v>
      </c>
      <c r="E29" s="4">
        <v>836.46</v>
      </c>
      <c r="F29" s="4">
        <v>602.82000000000005</v>
      </c>
      <c r="G29" s="5">
        <v>0</v>
      </c>
    </row>
    <row r="30" spans="2:7" ht="18.75" x14ac:dyDescent="0.25">
      <c r="B30" s="9" t="s">
        <v>127</v>
      </c>
      <c r="C30" s="7">
        <f>C26+C27+C28+C29</f>
        <v>4534.2299999999996</v>
      </c>
      <c r="D30" s="7">
        <f t="shared" ref="D30:G30" si="6">D26+D27+D28+D29</f>
        <v>2971.5</v>
      </c>
      <c r="E30" s="7">
        <f t="shared" si="6"/>
        <v>3073.83</v>
      </c>
      <c r="F30" s="7">
        <f t="shared" si="6"/>
        <v>2406.15</v>
      </c>
      <c r="G30" s="7">
        <f t="shared" si="6"/>
        <v>3029.8</v>
      </c>
    </row>
    <row r="31" spans="2:7" ht="18.75" x14ac:dyDescent="0.25">
      <c r="B31" s="8" t="s">
        <v>31</v>
      </c>
      <c r="C31" s="4">
        <v>183.56</v>
      </c>
      <c r="D31" s="4">
        <v>273.27</v>
      </c>
      <c r="E31" s="4">
        <v>429.42</v>
      </c>
      <c r="F31" s="4">
        <v>397.5</v>
      </c>
      <c r="G31" s="4">
        <v>573</v>
      </c>
    </row>
    <row r="32" spans="2:7" ht="18.75" x14ac:dyDescent="0.25">
      <c r="B32" s="8" t="s">
        <v>32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277.89999999999998</v>
      </c>
      <c r="D33" s="4">
        <v>252.53</v>
      </c>
      <c r="E33" s="4">
        <v>232.39</v>
      </c>
      <c r="F33" s="4">
        <v>228.3</v>
      </c>
      <c r="G33" s="4">
        <v>277</v>
      </c>
    </row>
    <row r="34" spans="2:7" ht="18.75" x14ac:dyDescent="0.25">
      <c r="B34" s="8" t="s">
        <v>40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4">
        <v>265.94</v>
      </c>
      <c r="D35" s="4">
        <v>272.74</v>
      </c>
      <c r="E35" s="4">
        <v>228.85</v>
      </c>
      <c r="F35" s="4">
        <v>416.06</v>
      </c>
      <c r="G35" s="4">
        <v>496</v>
      </c>
    </row>
    <row r="36" spans="2:7" ht="18.75" x14ac:dyDescent="0.25">
      <c r="B36" s="8" t="s">
        <v>37</v>
      </c>
      <c r="C36" s="4">
        <v>855.71</v>
      </c>
      <c r="D36" s="4">
        <v>819.36</v>
      </c>
      <c r="E36" s="4">
        <v>689.83</v>
      </c>
      <c r="F36" s="4">
        <v>798.88</v>
      </c>
      <c r="G36" s="4">
        <v>769</v>
      </c>
    </row>
    <row r="37" spans="2:7" ht="18.75" x14ac:dyDescent="0.25">
      <c r="B37" s="8" t="s">
        <v>38</v>
      </c>
      <c r="C37" s="4">
        <v>962.45</v>
      </c>
      <c r="D37" s="4">
        <v>1260.69</v>
      </c>
      <c r="E37" s="5">
        <v>1242.69</v>
      </c>
      <c r="F37" s="5">
        <v>917.65</v>
      </c>
      <c r="G37" s="4">
        <v>918</v>
      </c>
    </row>
    <row r="38" spans="2:7" ht="18.75" x14ac:dyDescent="0.25">
      <c r="B38" s="8" t="s">
        <v>39</v>
      </c>
      <c r="C38" s="4">
        <v>1082.25</v>
      </c>
      <c r="D38" s="5">
        <f>'CashFlow Statement'!D48+C38</f>
        <v>2649.7799999999997</v>
      </c>
      <c r="E38" s="5">
        <f>'CashFlow Statement'!E48+D38</f>
        <v>3620.6</v>
      </c>
      <c r="F38" s="5">
        <f>'CashFlow Statement'!F48+E38</f>
        <v>4859.34</v>
      </c>
      <c r="G38" s="5">
        <f>'CashFlow Statement'!G48+F38</f>
        <v>4351.76</v>
      </c>
    </row>
    <row r="39" spans="2:7" ht="18.75" x14ac:dyDescent="0.25">
      <c r="B39" s="9" t="s">
        <v>42</v>
      </c>
      <c r="C39" s="6">
        <f>C31+C32+C33+C34+C35+C36+C37+C38</f>
        <v>3627.8100000000004</v>
      </c>
      <c r="D39" s="6">
        <f t="shared" ref="D39:G39" si="7">D31+D32+D33+D34+D35+D36+D37+D38</f>
        <v>5528.37</v>
      </c>
      <c r="E39" s="6">
        <f t="shared" si="7"/>
        <v>6443.7800000000007</v>
      </c>
      <c r="F39" s="6">
        <f t="shared" si="7"/>
        <v>7617.73</v>
      </c>
      <c r="G39" s="6">
        <f t="shared" si="7"/>
        <v>7384.76</v>
      </c>
    </row>
    <row r="40" spans="2:7" ht="18.75" x14ac:dyDescent="0.25">
      <c r="B40" s="9" t="s">
        <v>43</v>
      </c>
      <c r="C40" s="7">
        <f>C30+C39</f>
        <v>8162.04</v>
      </c>
      <c r="D40" s="7">
        <f t="shared" ref="D40:G40" si="8">D30+D39</f>
        <v>8499.869999999999</v>
      </c>
      <c r="E40" s="7">
        <f t="shared" si="8"/>
        <v>9517.61</v>
      </c>
      <c r="F40" s="7">
        <f t="shared" si="8"/>
        <v>10023.879999999999</v>
      </c>
      <c r="G40" s="7">
        <f t="shared" si="8"/>
        <v>10414.560000000001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435AC-A8C3-456E-A31E-E63EC70CD1C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8162.0400000000009</v>
      </c>
      <c r="D5" s="16">
        <f>'Balance Sheet'!D21</f>
        <v>8499.869999999999</v>
      </c>
      <c r="E5" s="16">
        <f>'Balance Sheet'!E21</f>
        <v>9517.61</v>
      </c>
      <c r="F5" s="16">
        <f>'Balance Sheet'!F21</f>
        <v>10023.879999999999</v>
      </c>
      <c r="G5" s="16">
        <f>'Balance Sheet'!G21</f>
        <v>10414.56</v>
      </c>
    </row>
    <row r="6" spans="2:7" ht="18.75" x14ac:dyDescent="0.25">
      <c r="B6" s="15" t="str">
        <f>'Balance Sheet'!B13</f>
        <v>Total Debt</v>
      </c>
      <c r="C6" s="16">
        <f>'Balance Sheet'!C13</f>
        <v>2644.65</v>
      </c>
      <c r="D6" s="16">
        <f>'Balance Sheet'!D13</f>
        <v>2250.3000000000002</v>
      </c>
      <c r="E6" s="16">
        <f>'Balance Sheet'!E13</f>
        <v>2176.0100000000002</v>
      </c>
      <c r="F6" s="16">
        <f>'Balance Sheet'!F13</f>
        <v>1597.4099999999999</v>
      </c>
      <c r="G6" s="16">
        <f>'Balance Sheet'!G13</f>
        <v>1890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B6367-1BC0-4797-AE14-3794A9EC09D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8162.0400000000009</v>
      </c>
      <c r="D5" s="16">
        <f>'Balance Sheet'!D21</f>
        <v>8499.869999999999</v>
      </c>
      <c r="E5" s="16">
        <f>'Balance Sheet'!E21</f>
        <v>9517.61</v>
      </c>
      <c r="F5" s="16">
        <f>'Balance Sheet'!F21</f>
        <v>10023.879999999999</v>
      </c>
      <c r="G5" s="16">
        <f>'Balance Sheet'!G21</f>
        <v>10414.56</v>
      </c>
    </row>
    <row r="6" spans="2:7" ht="18.75" x14ac:dyDescent="0.25">
      <c r="B6" s="15" t="str">
        <f>'Balance Sheet'!B19</f>
        <v>Total Current Liabilities</v>
      </c>
      <c r="C6" s="16">
        <f>'Balance Sheet'!C19</f>
        <v>2319.5100000000002</v>
      </c>
      <c r="D6" s="16">
        <f>'Balance Sheet'!D19</f>
        <v>2342.2199999999998</v>
      </c>
      <c r="E6" s="16">
        <f>'Balance Sheet'!E19</f>
        <v>2945.44</v>
      </c>
      <c r="F6" s="16">
        <f>'Balance Sheet'!F19</f>
        <v>2415.0299999999997</v>
      </c>
      <c r="G6" s="16">
        <f>'Balance Sheet'!G19</f>
        <v>2151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D025F7-845C-4E1B-95AD-C9172394D49B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8162.04</v>
      </c>
      <c r="D5" s="16">
        <f>'Balance Sheet'!D40</f>
        <v>8499.869999999999</v>
      </c>
      <c r="E5" s="16">
        <f>'Balance Sheet'!E40</f>
        <v>9517.61</v>
      </c>
      <c r="F5" s="16">
        <f>'Balance Sheet'!F40</f>
        <v>10023.879999999999</v>
      </c>
      <c r="G5" s="16">
        <f>'Balance Sheet'!G40</f>
        <v>10414.560000000001</v>
      </c>
    </row>
    <row r="6" spans="2:7" ht="18.75" x14ac:dyDescent="0.25">
      <c r="B6" s="15" t="str">
        <f>'Balance Sheet'!B30</f>
        <v>Total Non Current Assets</v>
      </c>
      <c r="C6" s="16">
        <f>'Balance Sheet'!C30</f>
        <v>4534.2299999999996</v>
      </c>
      <c r="D6" s="16">
        <f>'Balance Sheet'!D30</f>
        <v>2971.5</v>
      </c>
      <c r="E6" s="16">
        <f>'Balance Sheet'!E30</f>
        <v>3073.83</v>
      </c>
      <c r="F6" s="16">
        <f>'Balance Sheet'!F30</f>
        <v>2406.15</v>
      </c>
      <c r="G6" s="16">
        <f>'Balance Sheet'!G30</f>
        <v>3029.8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B9541-BE1C-4184-8CB7-4936081F487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8162.04</v>
      </c>
      <c r="D5" s="16">
        <f>'Balance Sheet'!D40</f>
        <v>8499.869999999999</v>
      </c>
      <c r="E5" s="16">
        <f>'Balance Sheet'!E40</f>
        <v>9517.61</v>
      </c>
      <c r="F5" s="16">
        <f>'Balance Sheet'!F40</f>
        <v>10023.879999999999</v>
      </c>
      <c r="G5" s="16">
        <f>'Balance Sheet'!G40</f>
        <v>10414.560000000001</v>
      </c>
    </row>
    <row r="6" spans="2:7" ht="18.75" x14ac:dyDescent="0.25">
      <c r="B6" s="15" t="str">
        <f>'Balance Sheet'!B39</f>
        <v>Total Current Assets</v>
      </c>
      <c r="C6" s="16">
        <f>'Balance Sheet'!C39</f>
        <v>3627.8100000000004</v>
      </c>
      <c r="D6" s="16">
        <f>'Balance Sheet'!D39</f>
        <v>5528.37</v>
      </c>
      <c r="E6" s="16">
        <f>'Balance Sheet'!E39</f>
        <v>6443.7800000000007</v>
      </c>
      <c r="F6" s="16">
        <f>'Balance Sheet'!F39</f>
        <v>7617.73</v>
      </c>
      <c r="G6" s="16">
        <f>'Balance Sheet'!G39</f>
        <v>7384.76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B133F-8FDB-466A-B74B-80C95B9B554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3005.0699999999997</v>
      </c>
      <c r="D5" s="16">
        <f>'Income Statement'!D15</f>
        <v>3088.34</v>
      </c>
      <c r="E5" s="16">
        <f>'Income Statement'!E15</f>
        <v>2143.23</v>
      </c>
      <c r="F5" s="16">
        <f>'Income Statement'!F15</f>
        <v>2318.27</v>
      </c>
      <c r="G5" s="16">
        <f>'Income Statement'!G15</f>
        <v>2277</v>
      </c>
    </row>
    <row r="6" spans="2:7" ht="18.75" x14ac:dyDescent="0.25">
      <c r="B6" s="15" t="str">
        <f>'Income Statement'!B10</f>
        <v>Total Income</v>
      </c>
      <c r="C6" s="16">
        <f>'Income Statement'!C10</f>
        <v>4040.4</v>
      </c>
      <c r="D6" s="16">
        <f>'Income Statement'!D10</f>
        <v>4160.96</v>
      </c>
      <c r="E6" s="16">
        <f>'Income Statement'!E10</f>
        <v>2871.84</v>
      </c>
      <c r="F6" s="16">
        <f>'Income Statement'!F10</f>
        <v>2831.48</v>
      </c>
      <c r="G6" s="16">
        <f>'Income Statement'!G10</f>
        <v>3250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3B045-A820-4568-B626-D87CA965461A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5" width="10" bestFit="1" customWidth="1"/>
    <col min="6" max="6" width="11.5703125" bestFit="1" customWidth="1"/>
    <col min="7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246.42000000000041</v>
      </c>
      <c r="D5" s="16">
        <f>'Income Statement'!D30</f>
        <v>725.34999999999991</v>
      </c>
      <c r="E5" s="16">
        <f>'Income Statement'!E30</f>
        <v>432.82000000000016</v>
      </c>
      <c r="F5" s="16">
        <f>'Income Statement'!F30</f>
        <v>1617.56</v>
      </c>
      <c r="G5" s="16">
        <f>'Income Statement'!G30</f>
        <v>376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246.42000000000041</v>
      </c>
      <c r="D6" s="16">
        <f>'Income Statement'!D27</f>
        <v>725.34999999999991</v>
      </c>
      <c r="E6" s="16">
        <f>'Income Statement'!E27</f>
        <v>432.82000000000016</v>
      </c>
      <c r="F6" s="16">
        <f>'Income Statement'!F27</f>
        <v>1617.56</v>
      </c>
      <c r="G6" s="16">
        <f>'Income Statement'!G27</f>
        <v>376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1BFF7-EDB9-434C-BCA6-03E4E39D10A1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2" bestFit="1" customWidth="1"/>
    <col min="5" max="6" width="13.7109375" bestFit="1" customWidth="1"/>
    <col min="7" max="7" width="13.5703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641.68999999999994</v>
      </c>
      <c r="E5" s="5">
        <f>'Income Statement'!E25</f>
        <v>228.73000000000013</v>
      </c>
      <c r="F5" s="5">
        <f>'Income Statement'!F25</f>
        <v>1345.95</v>
      </c>
      <c r="G5" s="5">
        <f>'Income Statement'!G25</f>
        <v>244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4">
        <f>'Income Statement'!D18</f>
        <v>166.04</v>
      </c>
      <c r="E7" s="4">
        <f>'Income Statement'!E18</f>
        <v>224.14</v>
      </c>
      <c r="F7" s="4">
        <f>'Income Statement'!F18</f>
        <v>246.02</v>
      </c>
      <c r="G7" s="4">
        <f>'Income Statement'!G18</f>
        <v>247</v>
      </c>
    </row>
    <row r="8" spans="2:7" ht="18.75" x14ac:dyDescent="0.25">
      <c r="B8" s="8" t="s">
        <v>131</v>
      </c>
      <c r="C8" s="4"/>
      <c r="D8" s="4">
        <f>'Income Statement'!D20</f>
        <v>264.89</v>
      </c>
      <c r="E8" s="4">
        <f>'Income Statement'!E20</f>
        <v>275.74</v>
      </c>
      <c r="F8" s="4">
        <f>'Income Statement'!F20</f>
        <v>249.08</v>
      </c>
      <c r="G8" s="4">
        <f>'Income Statement'!G20</f>
        <v>299</v>
      </c>
    </row>
    <row r="9" spans="2:7" ht="18.75" x14ac:dyDescent="0.25">
      <c r="B9" s="8" t="s">
        <v>59</v>
      </c>
      <c r="C9" s="4"/>
      <c r="D9" s="4">
        <f>'Income Statement'!D8</f>
        <v>21.02</v>
      </c>
      <c r="E9" s="4">
        <f>'Income Statement'!E8</f>
        <v>38.81</v>
      </c>
      <c r="F9" s="4">
        <f>'Income Statement'!F8</f>
        <v>132.27000000000001</v>
      </c>
      <c r="G9" s="4">
        <f>'Income Statement'!G8</f>
        <v>20</v>
      </c>
    </row>
    <row r="10" spans="2:7" ht="18.75" x14ac:dyDescent="0.25">
      <c r="B10" s="9" t="s">
        <v>132</v>
      </c>
      <c r="C10" s="6"/>
      <c r="D10" s="6">
        <f>D7+D8-D9</f>
        <v>409.90999999999997</v>
      </c>
      <c r="E10" s="6">
        <f t="shared" ref="E10:G10" si="0">E7+E8-E9</f>
        <v>461.07</v>
      </c>
      <c r="F10" s="6">
        <f t="shared" si="0"/>
        <v>362.83000000000004</v>
      </c>
      <c r="G10" s="6">
        <f t="shared" si="0"/>
        <v>526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-89.70999999999998</v>
      </c>
      <c r="E12" s="4">
        <f>'Balance Sheet'!D31-'Balance Sheet'!E31</f>
        <v>-156.15000000000003</v>
      </c>
      <c r="F12" s="4">
        <f>'Balance Sheet'!E31-'Balance Sheet'!F31</f>
        <v>31.920000000000016</v>
      </c>
      <c r="G12" s="4">
        <f>'Balance Sheet'!F31-'Balance Sheet'!G31</f>
        <v>-175.5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0</v>
      </c>
      <c r="E13" s="4">
        <f>'Balance Sheet'!D32-'Balance Sheet'!E32</f>
        <v>0</v>
      </c>
      <c r="F13" s="4">
        <f>'Balance Sheet'!E32-'Balance Sheet'!F32</f>
        <v>0</v>
      </c>
      <c r="G13" s="4">
        <f>'Balance Sheet'!F32-'Balance Sheet'!G32</f>
        <v>0</v>
      </c>
    </row>
    <row r="14" spans="2:7" ht="18.75" x14ac:dyDescent="0.25">
      <c r="B14" s="8" t="str">
        <f>'Balance Sheet'!B33</f>
        <v>Other Non-Current Assets</v>
      </c>
      <c r="C14" s="4"/>
      <c r="D14" s="4">
        <f>'Balance Sheet'!C33-'Balance Sheet'!D33</f>
        <v>25.369999999999976</v>
      </c>
      <c r="E14" s="4">
        <f>'Balance Sheet'!D33-'Balance Sheet'!E33</f>
        <v>20.140000000000015</v>
      </c>
      <c r="F14" s="4">
        <f>'Balance Sheet'!E33-'Balance Sheet'!F33</f>
        <v>4.089999999999975</v>
      </c>
      <c r="G14" s="4">
        <f>'Balance Sheet'!F33-'Balance Sheet'!G33</f>
        <v>-48.699999999999989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0</v>
      </c>
      <c r="E15" s="4">
        <f>'Balance Sheet'!D34-'Balance Sheet'!E34</f>
        <v>0</v>
      </c>
      <c r="F15" s="4">
        <f>'Balance Sheet'!E34-'Balance Sheet'!F34</f>
        <v>0</v>
      </c>
      <c r="G15" s="4">
        <f>'Balance Sheet'!F34-'Balance Sheet'!G34</f>
        <v>0</v>
      </c>
    </row>
    <row r="16" spans="2:7" ht="18.75" x14ac:dyDescent="0.25">
      <c r="B16" s="8" t="str">
        <f>'Balance Sheet'!B35</f>
        <v>OtherCurrentAssets</v>
      </c>
      <c r="C16" s="4"/>
      <c r="D16" s="4">
        <f>'Balance Sheet'!C35-'Balance Sheet'!D35</f>
        <v>-6.8000000000000114</v>
      </c>
      <c r="E16" s="4">
        <f>'Balance Sheet'!D35-'Balance Sheet'!E35</f>
        <v>43.890000000000015</v>
      </c>
      <c r="F16" s="4">
        <f>'Balance Sheet'!E35-'Balance Sheet'!F35</f>
        <v>-187.21</v>
      </c>
      <c r="G16" s="4">
        <f>'Balance Sheet'!F35-'Balance Sheet'!G35</f>
        <v>-79.94</v>
      </c>
    </row>
    <row r="17" spans="2:7" ht="18.75" x14ac:dyDescent="0.25">
      <c r="B17" s="8" t="str">
        <f>'Balance Sheet'!B36</f>
        <v>Inventories</v>
      </c>
      <c r="C17" s="4"/>
      <c r="D17" s="4">
        <f>'Balance Sheet'!C36-'Balance Sheet'!D36</f>
        <v>36.350000000000023</v>
      </c>
      <c r="E17" s="4">
        <f>'Balance Sheet'!D36-'Balance Sheet'!E36</f>
        <v>129.52999999999997</v>
      </c>
      <c r="F17" s="4">
        <f>'Balance Sheet'!E36-'Balance Sheet'!F36</f>
        <v>-109.04999999999995</v>
      </c>
      <c r="G17" s="4">
        <f>'Balance Sheet'!F36-'Balance Sheet'!G36</f>
        <v>29.879999999999995</v>
      </c>
    </row>
    <row r="18" spans="2:7" ht="18.75" x14ac:dyDescent="0.25">
      <c r="B18" s="8" t="str">
        <f>'Balance Sheet'!B37</f>
        <v>Trade Receivables</v>
      </c>
      <c r="C18" s="4"/>
      <c r="D18" s="4">
        <f>'Balance Sheet'!C37-'Balance Sheet'!D37</f>
        <v>-298.24</v>
      </c>
      <c r="E18" s="4">
        <f>'Balance Sheet'!D37-'Balance Sheet'!E37</f>
        <v>18</v>
      </c>
      <c r="F18" s="4">
        <f>'Balance Sheet'!E37-'Balance Sheet'!F37</f>
        <v>325.04000000000008</v>
      </c>
      <c r="G18" s="4">
        <f>'Balance Sheet'!F37-'Balance Sheet'!G37</f>
        <v>-0.35000000000002274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-11.410000000000004</v>
      </c>
      <c r="E20" s="4">
        <f>'Balance Sheet'!E14-'Balance Sheet'!D14</f>
        <v>-7.8799999999999955</v>
      </c>
      <c r="F20" s="4">
        <f>'Balance Sheet'!F14-'Balance Sheet'!E14</f>
        <v>38.770000000000003</v>
      </c>
      <c r="G20" s="4">
        <f>'Balance Sheet'!G14-'Balance Sheet'!F14</f>
        <v>-52.370000000000005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-2.6499999999999986</v>
      </c>
      <c r="E21" s="4">
        <f>'Balance Sheet'!E15-'Balance Sheet'!D15</f>
        <v>75.349999999999994</v>
      </c>
      <c r="F21" s="4">
        <f>'Balance Sheet'!F15-'Balance Sheet'!E15</f>
        <v>-57.49</v>
      </c>
      <c r="G21" s="4">
        <f>'Balance Sheet'!G15-'Balance Sheet'!F15</f>
        <v>-22.79</v>
      </c>
    </row>
    <row r="22" spans="2:7" ht="18.75" x14ac:dyDescent="0.25">
      <c r="B22" s="8" t="str">
        <f>'Balance Sheet'!B16</f>
        <v>Other Long Term Liabilities</v>
      </c>
      <c r="C22" s="4"/>
      <c r="D22" s="4">
        <f>'Balance Sheet'!D16-'Balance Sheet'!C16</f>
        <v>0</v>
      </c>
      <c r="E22" s="4">
        <f>'Balance Sheet'!E16-'Balance Sheet'!D16</f>
        <v>306.52</v>
      </c>
      <c r="F22" s="4">
        <f>'Balance Sheet'!F16-'Balance Sheet'!E16</f>
        <v>-27.96999999999997</v>
      </c>
      <c r="G22" s="4">
        <f>'Balance Sheet'!G16-'Balance Sheet'!F16</f>
        <v>140.44999999999999</v>
      </c>
    </row>
    <row r="23" spans="2:7" ht="18.75" x14ac:dyDescent="0.25">
      <c r="B23" s="8" t="str">
        <f>'Balance Sheet'!B17</f>
        <v>Trade Payables</v>
      </c>
      <c r="C23" s="4"/>
      <c r="D23" s="4">
        <f>'Balance Sheet'!D17-'Balance Sheet'!C17</f>
        <v>238.46000000000004</v>
      </c>
      <c r="E23" s="4">
        <f>'Balance Sheet'!E17-'Balance Sheet'!D17</f>
        <v>55.029999999999973</v>
      </c>
      <c r="F23" s="4">
        <f>'Balance Sheet'!F17-'Balance Sheet'!E17</f>
        <v>-317.29999999999995</v>
      </c>
      <c r="G23" s="4">
        <f>'Balance Sheet'!G17-'Balance Sheet'!F17</f>
        <v>343.03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-201.69000000000005</v>
      </c>
      <c r="E24" s="5">
        <f>'Balance Sheet'!E18-'Balance Sheet'!D18</f>
        <v>174.20000000000005</v>
      </c>
      <c r="F24" s="5">
        <f>'Balance Sheet'!F18-'Balance Sheet'!E18</f>
        <v>-166.42000000000007</v>
      </c>
      <c r="G24" s="5">
        <f>'Balance Sheet'!G18-'Balance Sheet'!F18</f>
        <v>-672.34999999999991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4">
        <f>'Income Statement'!D26</f>
        <v>-83.66</v>
      </c>
      <c r="E26" s="4">
        <f>'Income Statement'!E26</f>
        <v>-204.09</v>
      </c>
      <c r="F26" s="4">
        <f>'Income Statement'!F26</f>
        <v>-271.61</v>
      </c>
      <c r="G26" s="4">
        <f>'Income Statement'!G26</f>
        <v>-132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824.93999999999994</v>
      </c>
      <c r="E27" s="7">
        <f t="shared" ref="E27:G27" si="1">E12+E13+E14+E15+E16+E17+E18+E20+E21+E22+E23+E24-E26+E10+E5</f>
        <v>1552.52</v>
      </c>
      <c r="F27" s="7">
        <f t="shared" si="1"/>
        <v>1514.7700000000002</v>
      </c>
      <c r="G27" s="7">
        <f t="shared" si="1"/>
        <v>363.36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-176.57999999999993</v>
      </c>
      <c r="E29" s="5">
        <f>'Balance Sheet'!D23-'Balance Sheet'!E23</f>
        <v>-354.38999999999987</v>
      </c>
      <c r="F29" s="5">
        <f>'Balance Sheet'!E23-'Balance Sheet'!F23</f>
        <v>167.44000000000005</v>
      </c>
      <c r="G29" s="5">
        <f>'Balance Sheet'!F23-'Balance Sheet'!G23</f>
        <v>-1601.5500000000002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-13.410000000000011</v>
      </c>
      <c r="E30" s="4">
        <f>'Balance Sheet'!D24-'Balance Sheet'!E24</f>
        <v>-35.340000000000003</v>
      </c>
      <c r="F30" s="4">
        <f>'Balance Sheet'!E24-'Balance Sheet'!F24</f>
        <v>20.580000000000013</v>
      </c>
      <c r="G30" s="4">
        <f>'Balance Sheet'!F24-'Balance Sheet'!G24</f>
        <v>127.63</v>
      </c>
    </row>
    <row r="31" spans="2:7" ht="18.75" x14ac:dyDescent="0.25">
      <c r="B31" s="8" t="str">
        <f>'Balance Sheet'!B27</f>
        <v>Non-Current Investments</v>
      </c>
      <c r="C31" s="4"/>
      <c r="D31" s="4">
        <f>'Balance Sheet'!C27-'Balance Sheet'!D27</f>
        <v>0</v>
      </c>
      <c r="E31" s="4">
        <f>'Balance Sheet'!D27-'Balance Sheet'!E27</f>
        <v>0</v>
      </c>
      <c r="F31" s="4">
        <f>'Balance Sheet'!E27-'Balance Sheet'!F27</f>
        <v>0</v>
      </c>
      <c r="G31" s="4">
        <f>'Balance Sheet'!F27-'Balance Sheet'!G27</f>
        <v>0.45</v>
      </c>
    </row>
    <row r="32" spans="2:7" ht="18.75" x14ac:dyDescent="0.25">
      <c r="B32" s="8" t="str">
        <f>'Balance Sheet'!B28</f>
        <v>Current Investments</v>
      </c>
      <c r="C32" s="4"/>
      <c r="D32" s="4">
        <f>'Balance Sheet'!C28-'Balance Sheet'!D28</f>
        <v>213.25</v>
      </c>
      <c r="E32" s="4">
        <f>'Balance Sheet'!D28-'Balance Sheet'!E28</f>
        <v>0</v>
      </c>
      <c r="F32" s="4">
        <f>'Balance Sheet'!E28-'Balance Sheet'!F28</f>
        <v>0</v>
      </c>
      <c r="G32" s="4">
        <f>'Balance Sheet'!F28-'Balance Sheet'!G28</f>
        <v>0</v>
      </c>
    </row>
    <row r="33" spans="2:7" ht="18.75" x14ac:dyDescent="0.25">
      <c r="B33" s="8" t="str">
        <f>'Balance Sheet'!B29</f>
        <v>Capital Work-In-Progress</v>
      </c>
      <c r="C33" s="4"/>
      <c r="D33" s="4">
        <f>'Balance Sheet'!C29-'Balance Sheet'!D29</f>
        <v>1373.43</v>
      </c>
      <c r="E33" s="4">
        <f>'Balance Sheet'!D29-'Balance Sheet'!E29</f>
        <v>63.259999999999991</v>
      </c>
      <c r="F33" s="4">
        <f>'Balance Sheet'!E29-'Balance Sheet'!F29</f>
        <v>233.64</v>
      </c>
      <c r="G33" s="4">
        <f>'Balance Sheet'!F29-'Balance Sheet'!G29</f>
        <v>602.82000000000005</v>
      </c>
    </row>
    <row r="34" spans="2:7" ht="18.75" x14ac:dyDescent="0.25">
      <c r="B34" s="8" t="s">
        <v>59</v>
      </c>
      <c r="C34" s="4"/>
      <c r="D34" s="4">
        <f>'Income Statement'!D8</f>
        <v>21.02</v>
      </c>
      <c r="E34" s="4">
        <f>'Income Statement'!E8</f>
        <v>38.81</v>
      </c>
      <c r="F34" s="4">
        <f>'Income Statement'!F8</f>
        <v>132.27000000000001</v>
      </c>
      <c r="G34" s="4">
        <f>'Income Statement'!G8</f>
        <v>20</v>
      </c>
    </row>
    <row r="35" spans="2:7" ht="18.75" x14ac:dyDescent="0.25">
      <c r="B35" s="9" t="s">
        <v>137</v>
      </c>
      <c r="C35" s="6"/>
      <c r="D35" s="7">
        <f>D29+D30+D31+D32+D33+D34</f>
        <v>1417.71</v>
      </c>
      <c r="E35" s="7">
        <f t="shared" ref="E35:G35" si="2">E29+E30+E31+E32+E33+E34</f>
        <v>-287.65999999999991</v>
      </c>
      <c r="F35" s="7">
        <f t="shared" si="2"/>
        <v>553.93000000000006</v>
      </c>
      <c r="G35" s="7">
        <f t="shared" si="2"/>
        <v>-850.65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2.0000000000003126E-2</v>
      </c>
      <c r="E37" s="4">
        <f>'Balance Sheet'!E5-'Balance Sheet'!D5</f>
        <v>2.9999999999994031E-2</v>
      </c>
      <c r="F37" s="4">
        <f>'Balance Sheet'!F5-'Balance Sheet'!E5</f>
        <v>2.0000000000003126E-2</v>
      </c>
      <c r="G37" s="4">
        <f>'Balance Sheet'!G5-'Balance Sheet'!F5</f>
        <v>16.61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4">
        <f>'Balance Sheet'!D10-'Balance Sheet'!C10</f>
        <v>-515.59000000000015</v>
      </c>
      <c r="E39" s="4">
        <f>'Balance Sheet'!E10-'Balance Sheet'!D10</f>
        <v>-416.61999999999989</v>
      </c>
      <c r="F39" s="4">
        <f>'Balance Sheet'!F10-'Balance Sheet'!E10</f>
        <v>-738.05000000000007</v>
      </c>
      <c r="G39" s="4">
        <f>'Balance Sheet'!G10-'Balance Sheet'!F10</f>
        <v>-147.85000000000002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-3.3800000000000026</v>
      </c>
      <c r="E40" s="4">
        <f>'Balance Sheet'!E11-'Balance Sheet'!D11</f>
        <v>0.17999999999999972</v>
      </c>
      <c r="F40" s="4">
        <f>'Balance Sheet'!F11-'Balance Sheet'!E11</f>
        <v>-2.8000000000000007</v>
      </c>
      <c r="G40" s="4">
        <f>'Balance Sheet'!G11-'Balance Sheet'!F11</f>
        <v>-0.44999999999999929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124.62000000000006</v>
      </c>
      <c r="E41" s="5">
        <f>'Balance Sheet'!E12-'Balance Sheet'!D12</f>
        <v>342.15</v>
      </c>
      <c r="F41" s="5">
        <f>'Balance Sheet'!F12-'Balance Sheet'!E12</f>
        <v>162.24999999999989</v>
      </c>
      <c r="G41" s="5">
        <f>'Balance Sheet'!G12-'Balance Sheet'!F12</f>
        <v>440.8900000000001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-15.900000000000034</v>
      </c>
      <c r="E42" s="4">
        <f>'Balance Sheet'!E20-'Balance Sheet'!D20</f>
        <v>55.960000000000036</v>
      </c>
      <c r="F42" s="4">
        <f>'Balance Sheet'!F20-'Balance Sheet'!E20</f>
        <v>-2.3000000000000114</v>
      </c>
      <c r="G42" s="4">
        <f>'Balance Sheet'!G20-'Balance Sheet'!F20</f>
        <v>-30.490000000000009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4">
        <f>'Income Statement'!D28</f>
        <v>0</v>
      </c>
      <c r="E44" s="4">
        <f>'Income Statement'!E28</f>
        <v>0</v>
      </c>
      <c r="F44" s="4">
        <f>'Income Statement'!F28</f>
        <v>0</v>
      </c>
      <c r="G44" s="4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0</v>
      </c>
      <c r="E45" s="4">
        <f>'Income Statement'!E29</f>
        <v>0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264.89</v>
      </c>
      <c r="E46" s="4">
        <f>'Income Statement'!E20</f>
        <v>275.74</v>
      </c>
      <c r="F46" s="4">
        <f>'Income Statement'!F20</f>
        <v>249.08</v>
      </c>
      <c r="G46" s="4">
        <f>'Income Statement'!G20</f>
        <v>299</v>
      </c>
    </row>
    <row r="47" spans="2:7" ht="18.75" x14ac:dyDescent="0.25">
      <c r="B47" s="9" t="s">
        <v>141</v>
      </c>
      <c r="C47" s="6"/>
      <c r="D47" s="7">
        <f>D37+D38+D39+D40+D41+D42-D44-D45-D46</f>
        <v>-675.12000000000012</v>
      </c>
      <c r="E47" s="7">
        <f t="shared" ref="E47:G47" si="3">E37+E38+E39+E40+E41+E42-E44-E45-E46</f>
        <v>-294.03999999999991</v>
      </c>
      <c r="F47" s="7">
        <f t="shared" si="3"/>
        <v>-829.96000000000015</v>
      </c>
      <c r="G47" s="7">
        <f t="shared" si="3"/>
        <v>-20.289999999999907</v>
      </c>
    </row>
    <row r="48" spans="2:7" ht="18.75" x14ac:dyDescent="0.25">
      <c r="B48" s="9" t="s">
        <v>142</v>
      </c>
      <c r="C48" s="6"/>
      <c r="D48" s="7">
        <f>D27+D35+D47</f>
        <v>1567.53</v>
      </c>
      <c r="E48" s="7">
        <f t="shared" ref="E48:G48" si="4">E27+E35+E47</f>
        <v>970.82000000000016</v>
      </c>
      <c r="F48" s="7">
        <f t="shared" si="4"/>
        <v>1238.7400000000002</v>
      </c>
      <c r="G48" s="7">
        <f t="shared" si="4"/>
        <v>-507.57999999999987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47F6D-D97B-415C-BCE1-8D330D57DE05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5" width="12.42578125" bestFit="1" customWidth="1"/>
    <col min="6" max="7" width="13.14062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246.42000000000041</v>
      </c>
      <c r="D6" s="16">
        <f>'Income Statement'!D27</f>
        <v>725.34999999999991</v>
      </c>
      <c r="E6" s="16">
        <f>'Income Statement'!E27</f>
        <v>432.82000000000016</v>
      </c>
      <c r="F6" s="16">
        <f>'Income Statement'!F27</f>
        <v>1617.56</v>
      </c>
      <c r="G6" s="16">
        <f>'Income Statement'!G27</f>
        <v>376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-4.4803636363636441</v>
      </c>
      <c r="D7" s="16">
        <f>'Income Statement'!D35</f>
        <v>-40.297222222222217</v>
      </c>
      <c r="E7" s="16">
        <f>'Income Statement'!E35</f>
        <v>-72.136666666666699</v>
      </c>
      <c r="F7" s="16">
        <f>'Income Statement'!F35</f>
        <v>26.089677419354839</v>
      </c>
      <c r="G7" s="16">
        <f>'Income Statement'!G35</f>
        <v>-18.8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-55</v>
      </c>
      <c r="D8" s="17">
        <f t="shared" ref="D8:G8" si="0">ROUND(D6/D7, 2)</f>
        <v>-18</v>
      </c>
      <c r="E8" s="17">
        <f t="shared" si="0"/>
        <v>-6</v>
      </c>
      <c r="F8" s="17">
        <f t="shared" si="0"/>
        <v>62</v>
      </c>
      <c r="G8" s="17">
        <f t="shared" si="0"/>
        <v>-20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0</v>
      </c>
      <c r="D11" s="16">
        <f>'Income Statement'!D28</f>
        <v>0</v>
      </c>
      <c r="E11" s="16">
        <f>'Income Statement'!E28</f>
        <v>0</v>
      </c>
      <c r="F11" s="16">
        <f>'Income Statement'!F28</f>
        <v>0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-4.4803636363636441</v>
      </c>
      <c r="D12" s="16">
        <f>'Income Statement'!D35</f>
        <v>-40.297222222222217</v>
      </c>
      <c r="E12" s="16">
        <f>'Income Statement'!E35</f>
        <v>-72.136666666666699</v>
      </c>
      <c r="F12" s="16">
        <f>'Income Statement'!F35</f>
        <v>26.089677419354839</v>
      </c>
      <c r="G12" s="16">
        <f>'Income Statement'!G35</f>
        <v>-18.8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0</v>
      </c>
      <c r="D13" s="17">
        <f t="shared" ref="D13:G13" si="1">ROUND(D11/D12, 2)</f>
        <v>0</v>
      </c>
      <c r="E13" s="17">
        <f t="shared" si="1"/>
        <v>0</v>
      </c>
      <c r="F13" s="17">
        <f t="shared" si="1"/>
        <v>0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2852.15</v>
      </c>
      <c r="D16" s="16">
        <f>'Balance Sheet'!D9</f>
        <v>3577.52</v>
      </c>
      <c r="E16" s="16">
        <f>'Balance Sheet'!E9</f>
        <v>4010.37</v>
      </c>
      <c r="F16" s="16">
        <f>'Balance Sheet'!F9</f>
        <v>5627.95</v>
      </c>
      <c r="G16" s="16">
        <f>'Balance Sheet'!G9</f>
        <v>6020.5599999999995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-4.4803636363636441</v>
      </c>
      <c r="D17" s="16">
        <f>'Income Statement'!D35</f>
        <v>-40.297222222222217</v>
      </c>
      <c r="E17" s="16">
        <f>'Income Statement'!E35</f>
        <v>-72.136666666666699</v>
      </c>
      <c r="F17" s="16">
        <f>'Income Statement'!F35</f>
        <v>26.089677419354839</v>
      </c>
      <c r="G17" s="16">
        <f>'Income Statement'!G35</f>
        <v>-18.8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-636.59</v>
      </c>
      <c r="D18" s="17">
        <f t="shared" ref="D18:G18" si="2">ROUND(D16/D17, 2)</f>
        <v>-88.78</v>
      </c>
      <c r="E18" s="17">
        <f t="shared" si="2"/>
        <v>-55.59</v>
      </c>
      <c r="F18" s="17">
        <f t="shared" si="2"/>
        <v>215.72</v>
      </c>
      <c r="G18" s="17">
        <f t="shared" si="2"/>
        <v>-320.24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0</v>
      </c>
      <c r="D21" s="16">
        <f>'Income Statement'!D28</f>
        <v>0</v>
      </c>
      <c r="E21" s="16">
        <f>'Income Statement'!E28</f>
        <v>0</v>
      </c>
      <c r="F21" s="16">
        <f>'Income Statement'!F28</f>
        <v>0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-4.4803636363636441</v>
      </c>
      <c r="D22" s="16">
        <f>'Income Statement'!D35</f>
        <v>-40.297222222222217</v>
      </c>
      <c r="E22" s="16">
        <f>'Income Statement'!E35</f>
        <v>-72.136666666666699</v>
      </c>
      <c r="F22" s="16">
        <f>'Income Statement'!F35</f>
        <v>26.089677419354839</v>
      </c>
      <c r="G22" s="16">
        <f>'Income Statement'!G35</f>
        <v>-18.8</v>
      </c>
    </row>
    <row r="23" spans="2:12" ht="18.75" x14ac:dyDescent="0.25">
      <c r="B23" s="15" t="s">
        <v>148</v>
      </c>
      <c r="C23" s="16">
        <f>ROUND(C21/C22, 2)</f>
        <v>0</v>
      </c>
      <c r="D23" s="16">
        <f t="shared" ref="D23:G23" si="3">ROUND(D21/D22, 2)</f>
        <v>0</v>
      </c>
      <c r="E23" s="16">
        <f t="shared" si="3"/>
        <v>0</v>
      </c>
      <c r="F23" s="16">
        <f t="shared" si="3"/>
        <v>0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246.42000000000041</v>
      </c>
      <c r="D24" s="16">
        <f>'Income Statement'!D27</f>
        <v>725.34999999999991</v>
      </c>
      <c r="E24" s="16">
        <f>'Income Statement'!E27</f>
        <v>432.82000000000016</v>
      </c>
      <c r="F24" s="16">
        <f>'Income Statement'!F27</f>
        <v>1617.56</v>
      </c>
      <c r="G24" s="16">
        <f>'Income Statement'!G27</f>
        <v>376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-4.4803636363636441</v>
      </c>
      <c r="D25" s="16">
        <f>'Income Statement'!D35</f>
        <v>-40.297222222222217</v>
      </c>
      <c r="E25" s="16">
        <f>'Income Statement'!E35</f>
        <v>-72.136666666666699</v>
      </c>
      <c r="F25" s="16">
        <f>'Income Statement'!F35</f>
        <v>26.089677419354839</v>
      </c>
      <c r="G25" s="16">
        <f>'Income Statement'!G35</f>
        <v>-18.8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-55</v>
      </c>
      <c r="D26" s="16">
        <f t="shared" ref="D26:G26" si="4">D24/D25</f>
        <v>-18</v>
      </c>
      <c r="E26" s="16">
        <f t="shared" si="4"/>
        <v>-6</v>
      </c>
      <c r="F26" s="16">
        <f t="shared" si="4"/>
        <v>62</v>
      </c>
      <c r="G26" s="16">
        <f t="shared" si="4"/>
        <v>-20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</v>
      </c>
      <c r="D27" s="17">
        <f t="shared" ref="D27:G27" si="5">ROUND(D23/D26, 2)</f>
        <v>0</v>
      </c>
      <c r="E27" s="17">
        <f t="shared" si="5"/>
        <v>0</v>
      </c>
      <c r="F27" s="17">
        <f t="shared" si="5"/>
        <v>0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0</v>
      </c>
      <c r="D30" s="16">
        <f>'Income Statement'!D28</f>
        <v>0</v>
      </c>
      <c r="E30" s="16">
        <f>'Income Statement'!E28</f>
        <v>0</v>
      </c>
      <c r="F30" s="16">
        <f>'Income Statement'!F28</f>
        <v>0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-4.4803636363636441</v>
      </c>
      <c r="D31" s="16">
        <f>'Income Statement'!D35</f>
        <v>-40.297222222222217</v>
      </c>
      <c r="E31" s="16">
        <f>'Income Statement'!E35</f>
        <v>-72.136666666666699</v>
      </c>
      <c r="F31" s="16">
        <f>'Income Statement'!F35</f>
        <v>26.089677419354839</v>
      </c>
      <c r="G31" s="16">
        <f>'Income Statement'!G35</f>
        <v>-18.8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0</v>
      </c>
      <c r="D32" s="16">
        <f t="shared" ref="D32:G32" si="6">ROUND(D30/D31, 2)</f>
        <v>0</v>
      </c>
      <c r="E32" s="16">
        <f t="shared" si="6"/>
        <v>0</v>
      </c>
      <c r="F32" s="16">
        <f t="shared" si="6"/>
        <v>0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1</v>
      </c>
      <c r="D33" s="27">
        <f t="shared" ref="D33:G33" si="7">1-D32</f>
        <v>1</v>
      </c>
      <c r="E33" s="27">
        <f t="shared" si="7"/>
        <v>1</v>
      </c>
      <c r="F33" s="27">
        <f t="shared" si="7"/>
        <v>1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3920.17</v>
      </c>
      <c r="D36" s="16">
        <f>'Income Statement'!D5</f>
        <v>4139.9399999999996</v>
      </c>
      <c r="E36" s="16">
        <f>'Income Statement'!E5</f>
        <v>2833.03</v>
      </c>
      <c r="F36" s="16">
        <f>'Income Statement'!F5</f>
        <v>2699.21</v>
      </c>
      <c r="G36" s="16">
        <f>'Income Statement'!G5</f>
        <v>3230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867.53</v>
      </c>
      <c r="D37" s="16">
        <f>'Income Statement'!D11</f>
        <v>854.18</v>
      </c>
      <c r="E37" s="16">
        <f>'Income Statement'!E11</f>
        <v>621.72</v>
      </c>
      <c r="F37" s="16">
        <f>'Income Statement'!F11</f>
        <v>682.43</v>
      </c>
      <c r="G37" s="16">
        <f>'Income Statement'!G11</f>
        <v>612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3052.64</v>
      </c>
      <c r="D38" s="28">
        <f t="shared" ref="D38:G38" si="8">ROUND(D36- D37, 2)</f>
        <v>3285.76</v>
      </c>
      <c r="E38" s="28">
        <f t="shared" si="8"/>
        <v>2211.31</v>
      </c>
      <c r="F38" s="28">
        <f t="shared" si="8"/>
        <v>2016.78</v>
      </c>
      <c r="G38" s="28">
        <f t="shared" si="8"/>
        <v>2618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3920.17</v>
      </c>
      <c r="D41" s="16">
        <f>'Income Statement'!D5</f>
        <v>4139.9399999999996</v>
      </c>
      <c r="E41" s="16">
        <f>'Income Statement'!E5</f>
        <v>2833.03</v>
      </c>
      <c r="F41" s="16">
        <f>'Income Statement'!F5</f>
        <v>2699.21</v>
      </c>
      <c r="G41" s="16">
        <f>'Income Statement'!G5</f>
        <v>3230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3005.0699999999997</v>
      </c>
      <c r="D42" s="16">
        <f>'Income Statement'!D15</f>
        <v>3088.34</v>
      </c>
      <c r="E42" s="16">
        <f>'Income Statement'!E15</f>
        <v>2143.23</v>
      </c>
      <c r="F42" s="16">
        <f>'Income Statement'!F15</f>
        <v>2318.27</v>
      </c>
      <c r="G42" s="16">
        <f>'Income Statement'!G15</f>
        <v>2277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915.1</v>
      </c>
      <c r="D43" s="28">
        <f t="shared" ref="D43:G43" si="9">ROUND(D41- D42, 2)</f>
        <v>1051.5999999999999</v>
      </c>
      <c r="E43" s="28">
        <f t="shared" si="9"/>
        <v>689.8</v>
      </c>
      <c r="F43" s="28">
        <f t="shared" si="9"/>
        <v>380.94</v>
      </c>
      <c r="G43" s="28">
        <f t="shared" si="9"/>
        <v>953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246.42000000000041</v>
      </c>
      <c r="D46" s="16">
        <f>'Income Statement'!D27</f>
        <v>725.34999999999991</v>
      </c>
      <c r="E46" s="16">
        <f>'Income Statement'!E27</f>
        <v>432.82000000000016</v>
      </c>
      <c r="F46" s="16">
        <f>'Income Statement'!F27</f>
        <v>1617.56</v>
      </c>
      <c r="G46" s="16">
        <f>'Income Statement'!G27</f>
        <v>376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8162.04</v>
      </c>
      <c r="D47" s="16">
        <f>'Balance Sheet'!D40</f>
        <v>8499.869999999999</v>
      </c>
      <c r="E47" s="16">
        <f>'Balance Sheet'!E40</f>
        <v>9517.61</v>
      </c>
      <c r="F47" s="16">
        <f>'Balance Sheet'!F40</f>
        <v>10023.879999999999</v>
      </c>
      <c r="G47" s="16">
        <f>'Balance Sheet'!G40</f>
        <v>10414.560000000001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0.03</v>
      </c>
      <c r="D48" s="27">
        <f t="shared" ref="D48:G48" si="10">ROUND(D46/ D47, 2)</f>
        <v>0.09</v>
      </c>
      <c r="E48" s="27">
        <f t="shared" si="10"/>
        <v>0.05</v>
      </c>
      <c r="F48" s="27">
        <f t="shared" si="10"/>
        <v>0.16</v>
      </c>
      <c r="G48" s="27">
        <f t="shared" si="10"/>
        <v>0.04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885.80000000000041</v>
      </c>
      <c r="D51" s="16">
        <f>'Income Statement'!D19</f>
        <v>906.57999999999993</v>
      </c>
      <c r="E51" s="16">
        <f>'Income Statement'!E19</f>
        <v>504.47000000000014</v>
      </c>
      <c r="F51" s="16">
        <f>'Income Statement'!F19</f>
        <v>267.19000000000005</v>
      </c>
      <c r="G51" s="16">
        <f>'Income Statement'!G19</f>
        <v>726</v>
      </c>
    </row>
    <row r="52" spans="2:12" ht="19.5" thickTop="1" x14ac:dyDescent="0.25">
      <c r="B52" s="15" t="str">
        <f>'Balance Sheet'!B13</f>
        <v>Total Debt</v>
      </c>
      <c r="C52" s="16">
        <f>'Balance Sheet'!C13</f>
        <v>2644.65</v>
      </c>
      <c r="D52" s="16">
        <f>'Balance Sheet'!D13</f>
        <v>2250.3000000000002</v>
      </c>
      <c r="E52" s="16">
        <f>'Balance Sheet'!E13</f>
        <v>2176.0100000000002</v>
      </c>
      <c r="F52" s="16">
        <f>'Balance Sheet'!F13</f>
        <v>1597.4099999999999</v>
      </c>
      <c r="G52" s="16">
        <f>'Balance Sheet'!G13</f>
        <v>1890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2852.15</v>
      </c>
      <c r="D53" s="16">
        <f>'Balance Sheet'!D9</f>
        <v>3577.52</v>
      </c>
      <c r="E53" s="16">
        <f>'Balance Sheet'!E9</f>
        <v>4010.37</v>
      </c>
      <c r="F53" s="16">
        <f>'Balance Sheet'!F9</f>
        <v>5627.95</v>
      </c>
      <c r="G53" s="16">
        <f>'Balance Sheet'!G9</f>
        <v>6020.5599999999995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0.17</v>
      </c>
      <c r="D54" s="27">
        <f t="shared" ref="D54:G54" si="11">ROUND(D51/ (D52+ D52), 2)</f>
        <v>0.2</v>
      </c>
      <c r="E54" s="27">
        <f t="shared" si="11"/>
        <v>0.12</v>
      </c>
      <c r="F54" s="27">
        <f t="shared" si="11"/>
        <v>0.08</v>
      </c>
      <c r="G54" s="27">
        <f t="shared" si="11"/>
        <v>0.19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246.42000000000041</v>
      </c>
      <c r="D57" s="16">
        <f>'Income Statement'!D27</f>
        <v>725.34999999999991</v>
      </c>
      <c r="E57" s="16">
        <f>'Income Statement'!E27</f>
        <v>432.82000000000016</v>
      </c>
      <c r="F57" s="16">
        <f>'Income Statement'!F27</f>
        <v>1617.56</v>
      </c>
      <c r="G57" s="16">
        <f>'Income Statement'!G27</f>
        <v>376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2852.15</v>
      </c>
      <c r="D58" s="16">
        <f>'Balance Sheet'!D9</f>
        <v>3577.52</v>
      </c>
      <c r="E58" s="16">
        <f>'Balance Sheet'!E9</f>
        <v>4010.37</v>
      </c>
      <c r="F58" s="16">
        <f>'Balance Sheet'!F9</f>
        <v>5627.95</v>
      </c>
      <c r="G58" s="16">
        <f>'Balance Sheet'!G9</f>
        <v>6020.5599999999995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0.04</v>
      </c>
      <c r="D59" s="27">
        <f t="shared" ref="D59:G59" si="12">ROUND(D57/ (D58+ D58), 2)</f>
        <v>0.1</v>
      </c>
      <c r="E59" s="27">
        <f t="shared" si="12"/>
        <v>0.05</v>
      </c>
      <c r="F59" s="27">
        <f t="shared" si="12"/>
        <v>0.14000000000000001</v>
      </c>
      <c r="G59" s="27">
        <f t="shared" si="12"/>
        <v>0.03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2644.65</v>
      </c>
      <c r="D62" s="16">
        <f>'Balance Sheet'!D13</f>
        <v>2250.3000000000002</v>
      </c>
      <c r="E62" s="16">
        <f>'Balance Sheet'!E13</f>
        <v>2176.0100000000002</v>
      </c>
      <c r="F62" s="16">
        <f>'Balance Sheet'!F13</f>
        <v>1597.4099999999999</v>
      </c>
      <c r="G62" s="16">
        <f>'Balance Sheet'!G13</f>
        <v>1890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2852.15</v>
      </c>
      <c r="D63" s="16">
        <f>'Balance Sheet'!D9</f>
        <v>3577.52</v>
      </c>
      <c r="E63" s="16">
        <f>'Balance Sheet'!E9</f>
        <v>4010.37</v>
      </c>
      <c r="F63" s="16">
        <f>'Balance Sheet'!F9</f>
        <v>5627.95</v>
      </c>
      <c r="G63" s="16">
        <f>'Balance Sheet'!G9</f>
        <v>6020.5599999999995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0.93</v>
      </c>
      <c r="D64" s="17">
        <f t="shared" ref="D64:G64" si="13">ROUND(D62/ D63, 2)</f>
        <v>0.63</v>
      </c>
      <c r="E64" s="17">
        <f t="shared" si="13"/>
        <v>0.54</v>
      </c>
      <c r="F64" s="17">
        <f t="shared" si="13"/>
        <v>0.28000000000000003</v>
      </c>
      <c r="G64" s="17">
        <f t="shared" si="13"/>
        <v>0.31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3627.8100000000004</v>
      </c>
      <c r="D67" s="16">
        <f>'Balance Sheet'!D39</f>
        <v>5528.37</v>
      </c>
      <c r="E67" s="16">
        <f>'Balance Sheet'!E39</f>
        <v>6443.7800000000007</v>
      </c>
      <c r="F67" s="16">
        <f>'Balance Sheet'!F39</f>
        <v>7617.73</v>
      </c>
      <c r="G67" s="16">
        <f>'Balance Sheet'!G39</f>
        <v>7384.76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2319.5100000000002</v>
      </c>
      <c r="D68" s="16">
        <f>'Balance Sheet'!D19</f>
        <v>2342.2199999999998</v>
      </c>
      <c r="E68" s="16">
        <f>'Balance Sheet'!E19</f>
        <v>2945.44</v>
      </c>
      <c r="F68" s="16">
        <f>'Balance Sheet'!F19</f>
        <v>2415.0299999999997</v>
      </c>
      <c r="G68" s="16">
        <f>'Balance Sheet'!G19</f>
        <v>2151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1.56</v>
      </c>
      <c r="D69" s="17">
        <f t="shared" ref="D69:G69" si="14">ROUND(D67/ D68, 2)</f>
        <v>2.36</v>
      </c>
      <c r="E69" s="17">
        <f t="shared" si="14"/>
        <v>2.19</v>
      </c>
      <c r="F69" s="17">
        <f t="shared" si="14"/>
        <v>3.15</v>
      </c>
      <c r="G69" s="17">
        <f t="shared" si="14"/>
        <v>3.43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3627.8100000000004</v>
      </c>
      <c r="D72" s="16">
        <f>'Balance Sheet'!D39</f>
        <v>5528.37</v>
      </c>
      <c r="E72" s="16">
        <f>'Balance Sheet'!E39</f>
        <v>6443.7800000000007</v>
      </c>
      <c r="F72" s="16">
        <f>'Balance Sheet'!F39</f>
        <v>7617.73</v>
      </c>
      <c r="G72" s="16">
        <f>'Balance Sheet'!G39</f>
        <v>7384.76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855.71</v>
      </c>
      <c r="D73" s="16">
        <f>'Balance Sheet'!D36</f>
        <v>819.36</v>
      </c>
      <c r="E73" s="16">
        <f>'Balance Sheet'!E36</f>
        <v>689.83</v>
      </c>
      <c r="F73" s="16">
        <f>'Balance Sheet'!F36</f>
        <v>798.88</v>
      </c>
      <c r="G73" s="16">
        <f>'Balance Sheet'!G36</f>
        <v>769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2319.5100000000002</v>
      </c>
      <c r="D74" s="16">
        <f>'Balance Sheet'!D19</f>
        <v>2342.2199999999998</v>
      </c>
      <c r="E74" s="16">
        <f>'Balance Sheet'!E19</f>
        <v>2945.44</v>
      </c>
      <c r="F74" s="16">
        <f>'Balance Sheet'!F19</f>
        <v>2415.0299999999997</v>
      </c>
      <c r="G74" s="16">
        <f>'Balance Sheet'!G19</f>
        <v>2151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1.2</v>
      </c>
      <c r="D75" s="17">
        <f t="shared" ref="D75:G75" si="15">ROUND((D72-D73)/ D74, 2)</f>
        <v>2.0099999999999998</v>
      </c>
      <c r="E75" s="17">
        <f t="shared" si="15"/>
        <v>1.95</v>
      </c>
      <c r="F75" s="17">
        <f t="shared" si="15"/>
        <v>2.82</v>
      </c>
      <c r="G75" s="17">
        <f t="shared" si="15"/>
        <v>3.08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885.80000000000041</v>
      </c>
      <c r="D78" s="16">
        <f>'Income Statement'!D19</f>
        <v>906.57999999999993</v>
      </c>
      <c r="E78" s="16">
        <f>'Income Statement'!E19</f>
        <v>504.47000000000014</v>
      </c>
      <c r="F78" s="16">
        <f>'Income Statement'!F19</f>
        <v>267.19000000000005</v>
      </c>
      <c r="G78" s="16">
        <f>'Income Statement'!G19</f>
        <v>726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255.49</v>
      </c>
      <c r="D79" s="16">
        <f>'Income Statement'!D20</f>
        <v>264.89</v>
      </c>
      <c r="E79" s="16">
        <f>'Income Statement'!E20</f>
        <v>275.74</v>
      </c>
      <c r="F79" s="16">
        <f>'Income Statement'!F20</f>
        <v>249.08</v>
      </c>
      <c r="G79" s="16">
        <f>'Income Statement'!G20</f>
        <v>299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3.47</v>
      </c>
      <c r="D80" s="17">
        <f t="shared" ref="D80:G80" si="16">ROUND(D78/D79, 2)</f>
        <v>3.42</v>
      </c>
      <c r="E80" s="17">
        <f t="shared" si="16"/>
        <v>1.83</v>
      </c>
      <c r="F80" s="17">
        <f t="shared" si="16"/>
        <v>1.07</v>
      </c>
      <c r="G80" s="17">
        <f t="shared" si="16"/>
        <v>2.4300000000000002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867.53</v>
      </c>
      <c r="D83" s="16">
        <f>'Income Statement'!D11</f>
        <v>854.18</v>
      </c>
      <c r="E83" s="16">
        <f>'Income Statement'!E11</f>
        <v>621.72</v>
      </c>
      <c r="F83" s="16">
        <f>'Income Statement'!F11</f>
        <v>682.43</v>
      </c>
      <c r="G83" s="16">
        <f>'Income Statement'!G11</f>
        <v>612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3920.17</v>
      </c>
      <c r="D84" s="16">
        <f>'Income Statement'!D7</f>
        <v>4139.9399999999996</v>
      </c>
      <c r="E84" s="16">
        <f>'Income Statement'!E7</f>
        <v>2833.03</v>
      </c>
      <c r="F84" s="16">
        <f>'Income Statement'!F7</f>
        <v>2699.21</v>
      </c>
      <c r="G84" s="16">
        <f>'Income Statement'!G7</f>
        <v>3230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0.22</v>
      </c>
      <c r="D85" s="17">
        <f t="shared" ref="D85:G85" si="17">ROUND(D83/D84, 2)</f>
        <v>0.21</v>
      </c>
      <c r="E85" s="17">
        <f t="shared" si="17"/>
        <v>0.22</v>
      </c>
      <c r="F85" s="17">
        <f t="shared" si="17"/>
        <v>0.25</v>
      </c>
      <c r="G85" s="17">
        <f t="shared" si="17"/>
        <v>0.19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1082.25</v>
      </c>
      <c r="D88" s="16">
        <f>'Balance Sheet'!D38</f>
        <v>2649.7799999999997</v>
      </c>
      <c r="E88" s="16">
        <f>'Balance Sheet'!E38</f>
        <v>3620.6</v>
      </c>
      <c r="F88" s="16">
        <f>'Balance Sheet'!F38</f>
        <v>4859.34</v>
      </c>
      <c r="G88" s="16">
        <f>'Balance Sheet'!G38</f>
        <v>4351.76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867.53</v>
      </c>
      <c r="D89" s="16">
        <f>'Income Statement'!D11</f>
        <v>854.18</v>
      </c>
      <c r="E89" s="16">
        <f>'Income Statement'!E11</f>
        <v>621.72</v>
      </c>
      <c r="F89" s="16">
        <f>'Income Statement'!F11</f>
        <v>682.43</v>
      </c>
      <c r="G89" s="16">
        <f>'Income Statement'!G11</f>
        <v>612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455.34</v>
      </c>
      <c r="D90" s="17">
        <f t="shared" ref="D90:G90" si="18">ROUND(D88/D89*365, 2)</f>
        <v>1132.28</v>
      </c>
      <c r="E90" s="17">
        <f t="shared" si="18"/>
        <v>2125.59</v>
      </c>
      <c r="F90" s="17">
        <f t="shared" si="18"/>
        <v>2599.0300000000002</v>
      </c>
      <c r="G90" s="17">
        <f t="shared" si="18"/>
        <v>2595.41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1082.25</v>
      </c>
      <c r="D93" s="16">
        <f>'Balance Sheet'!D38</f>
        <v>2649.7799999999997</v>
      </c>
      <c r="E93" s="16">
        <f>'Balance Sheet'!E38</f>
        <v>3620.6</v>
      </c>
      <c r="F93" s="16">
        <f>'Balance Sheet'!F38</f>
        <v>4859.34</v>
      </c>
      <c r="G93" s="16">
        <f>'Balance Sheet'!G38</f>
        <v>4351.76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1082.25</v>
      </c>
      <c r="D95" s="17">
        <f t="shared" ref="D95:G95" si="19">ROUND(D93/D94*365, 2)</f>
        <v>2649.78</v>
      </c>
      <c r="E95" s="17">
        <f t="shared" si="19"/>
        <v>3620.6</v>
      </c>
      <c r="F95" s="17">
        <f t="shared" si="19"/>
        <v>4859.34</v>
      </c>
      <c r="G95" s="17">
        <f t="shared" si="19"/>
        <v>4351.76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3920.17</v>
      </c>
      <c r="D98" s="16">
        <f>'Income Statement'!D5</f>
        <v>4139.9399999999996</v>
      </c>
      <c r="E98" s="16">
        <f>'Income Statement'!E5</f>
        <v>2833.03</v>
      </c>
      <c r="F98" s="16">
        <f>'Income Statement'!F5</f>
        <v>2699.21</v>
      </c>
      <c r="G98" s="16">
        <f>'Income Statement'!G5</f>
        <v>3230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8162.04</v>
      </c>
      <c r="D99" s="16">
        <f>'Balance Sheet'!D40</f>
        <v>8499.869999999999</v>
      </c>
      <c r="E99" s="16">
        <f>'Balance Sheet'!E40</f>
        <v>9517.61</v>
      </c>
      <c r="F99" s="16">
        <f>'Balance Sheet'!F40</f>
        <v>10023.879999999999</v>
      </c>
      <c r="G99" s="16">
        <f>'Balance Sheet'!G40</f>
        <v>10414.560000000001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0.48</v>
      </c>
      <c r="D100" s="17">
        <f t="shared" ref="D100:G100" si="20">ROUND(D98/D99, 2)</f>
        <v>0.49</v>
      </c>
      <c r="E100" s="17">
        <f t="shared" si="20"/>
        <v>0.3</v>
      </c>
      <c r="F100" s="17">
        <f t="shared" si="20"/>
        <v>0.27</v>
      </c>
      <c r="G100" s="17">
        <f t="shared" si="20"/>
        <v>0.31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3920.17</v>
      </c>
      <c r="D103" s="16">
        <f>'Income Statement'!D5</f>
        <v>4139.9399999999996</v>
      </c>
      <c r="E103" s="16">
        <f>'Income Statement'!E5</f>
        <v>2833.03</v>
      </c>
      <c r="F103" s="16">
        <f>'Income Statement'!F5</f>
        <v>2699.21</v>
      </c>
      <c r="G103" s="16">
        <f>'Income Statement'!G5</f>
        <v>3230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855.71</v>
      </c>
      <c r="D104" s="16">
        <f>'Balance Sheet'!D36</f>
        <v>819.36</v>
      </c>
      <c r="E104" s="16">
        <f>'Balance Sheet'!E36</f>
        <v>689.83</v>
      </c>
      <c r="F104" s="16">
        <f>'Balance Sheet'!F36</f>
        <v>798.88</v>
      </c>
      <c r="G104" s="16">
        <f>'Balance Sheet'!G36</f>
        <v>769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4.58</v>
      </c>
      <c r="D105" s="17">
        <f t="shared" ref="D105:G105" si="21">ROUND(D103/D104, 2)</f>
        <v>5.05</v>
      </c>
      <c r="E105" s="17">
        <f t="shared" si="21"/>
        <v>4.1100000000000003</v>
      </c>
      <c r="F105" s="17">
        <f t="shared" si="21"/>
        <v>3.38</v>
      </c>
      <c r="G105" s="17">
        <f t="shared" si="21"/>
        <v>4.2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3920.17</v>
      </c>
      <c r="D108" s="16">
        <f>'Income Statement'!D5</f>
        <v>4139.9399999999996</v>
      </c>
      <c r="E108" s="16">
        <f>'Income Statement'!E5</f>
        <v>2833.03</v>
      </c>
      <c r="F108" s="16">
        <f>'Income Statement'!F5</f>
        <v>2699.21</v>
      </c>
      <c r="G108" s="16">
        <f>'Income Statement'!G5</f>
        <v>3230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962.45</v>
      </c>
      <c r="D109" s="16">
        <f>'Balance Sheet'!D37</f>
        <v>1260.69</v>
      </c>
      <c r="E109" s="16">
        <f>'Balance Sheet'!E37</f>
        <v>1242.69</v>
      </c>
      <c r="F109" s="16">
        <f>'Balance Sheet'!F37</f>
        <v>917.65</v>
      </c>
      <c r="G109" s="16">
        <f>'Balance Sheet'!G37</f>
        <v>918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4.07</v>
      </c>
      <c r="D110" s="17">
        <f t="shared" ref="D110:G110" si="22">ROUND(D108/D109, 2)</f>
        <v>3.28</v>
      </c>
      <c r="E110" s="17">
        <f t="shared" si="22"/>
        <v>2.2799999999999998</v>
      </c>
      <c r="F110" s="17">
        <f t="shared" si="22"/>
        <v>2.94</v>
      </c>
      <c r="G110" s="17">
        <f t="shared" si="22"/>
        <v>3.52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3920.17</v>
      </c>
      <c r="D113" s="16">
        <f>'Income Statement'!D5</f>
        <v>4139.9399999999996</v>
      </c>
      <c r="E113" s="16">
        <f>'Income Statement'!E5</f>
        <v>2833.03</v>
      </c>
      <c r="F113" s="16">
        <f>'Income Statement'!F5</f>
        <v>2699.21</v>
      </c>
      <c r="G113" s="16">
        <f>'Income Statement'!G5</f>
        <v>3230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1947.92</v>
      </c>
      <c r="D114" s="16">
        <f>'Balance Sheet'!D23</f>
        <v>2124.5</v>
      </c>
      <c r="E114" s="16">
        <f>'Balance Sheet'!E23</f>
        <v>2478.89</v>
      </c>
      <c r="F114" s="16">
        <f>'Balance Sheet'!F23</f>
        <v>2311.4499999999998</v>
      </c>
      <c r="G114" s="16">
        <f>'Balance Sheet'!G23</f>
        <v>3913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2.0099999999999998</v>
      </c>
      <c r="D115" s="17">
        <f t="shared" ref="D115:G115" si="23">ROUND(D113/D114, 2)</f>
        <v>1.95</v>
      </c>
      <c r="E115" s="17">
        <f t="shared" si="23"/>
        <v>1.1399999999999999</v>
      </c>
      <c r="F115" s="17">
        <f t="shared" si="23"/>
        <v>1.17</v>
      </c>
      <c r="G115" s="17">
        <f t="shared" si="23"/>
        <v>0.83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867.53</v>
      </c>
      <c r="D118" s="16">
        <f>'Income Statement'!D11</f>
        <v>854.18</v>
      </c>
      <c r="E118" s="16">
        <f>'Income Statement'!E11</f>
        <v>621.72</v>
      </c>
      <c r="F118" s="16">
        <f>'Income Statement'!F11</f>
        <v>682.43</v>
      </c>
      <c r="G118" s="16">
        <f>'Income Statement'!G11</f>
        <v>612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2319.5100000000002</v>
      </c>
      <c r="D119" s="16">
        <f>'Balance Sheet'!D19</f>
        <v>2342.2199999999998</v>
      </c>
      <c r="E119" s="16">
        <f>'Balance Sheet'!E19</f>
        <v>2945.44</v>
      </c>
      <c r="F119" s="16">
        <f>'Balance Sheet'!F19</f>
        <v>2415.0299999999997</v>
      </c>
      <c r="G119" s="16">
        <f>'Balance Sheet'!G19</f>
        <v>2151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0.37</v>
      </c>
      <c r="D120" s="17">
        <f t="shared" ref="D120:G120" si="24">ROUND(D118/D119, 2)</f>
        <v>0.36</v>
      </c>
      <c r="E120" s="17">
        <f t="shared" si="24"/>
        <v>0.21</v>
      </c>
      <c r="F120" s="17">
        <f t="shared" si="24"/>
        <v>0.28000000000000003</v>
      </c>
      <c r="G120" s="17">
        <f t="shared" si="24"/>
        <v>0.28000000000000003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3920.17</v>
      </c>
      <c r="D123" s="16">
        <f>'Income Statement'!D5</f>
        <v>4139.9399999999996</v>
      </c>
      <c r="E123" s="16">
        <f>'Income Statement'!E5</f>
        <v>2833.03</v>
      </c>
      <c r="F123" s="16">
        <f>'Income Statement'!F5</f>
        <v>2699.21</v>
      </c>
      <c r="G123" s="16">
        <f>'Income Statement'!G5</f>
        <v>3230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855.71</v>
      </c>
      <c r="D124" s="16">
        <f>'Balance Sheet'!D36</f>
        <v>819.36</v>
      </c>
      <c r="E124" s="16">
        <f>'Balance Sheet'!E36</f>
        <v>689.83</v>
      </c>
      <c r="F124" s="16">
        <f>'Balance Sheet'!F36</f>
        <v>798.88</v>
      </c>
      <c r="G124" s="16">
        <f>'Balance Sheet'!G36</f>
        <v>769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79.67</v>
      </c>
      <c r="D125" s="17">
        <f t="shared" ref="D125:G125" si="25">ROUND(365/D123*D124, 2)</f>
        <v>72.239999999999995</v>
      </c>
      <c r="E125" s="17">
        <f t="shared" si="25"/>
        <v>88.88</v>
      </c>
      <c r="F125" s="17">
        <f t="shared" si="25"/>
        <v>108.03</v>
      </c>
      <c r="G125" s="17">
        <f t="shared" si="25"/>
        <v>86.9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867.53</v>
      </c>
      <c r="D128" s="16">
        <f>'Income Statement'!D11</f>
        <v>854.18</v>
      </c>
      <c r="E128" s="16">
        <f>'Income Statement'!E11</f>
        <v>621.72</v>
      </c>
      <c r="F128" s="16">
        <f>'Income Statement'!F11</f>
        <v>682.43</v>
      </c>
      <c r="G128" s="16">
        <f>'Income Statement'!G11</f>
        <v>612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2319.5100000000002</v>
      </c>
      <c r="D129" s="16">
        <f>'Balance Sheet'!D19</f>
        <v>2342.2199999999998</v>
      </c>
      <c r="E129" s="16">
        <f>'Balance Sheet'!E19</f>
        <v>2945.44</v>
      </c>
      <c r="F129" s="16">
        <f>'Balance Sheet'!F19</f>
        <v>2415.0299999999997</v>
      </c>
      <c r="G129" s="16">
        <f>'Balance Sheet'!G19</f>
        <v>2151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975.9</v>
      </c>
      <c r="D130" s="17">
        <f t="shared" ref="D130:G130" si="26">ROUND(365/D128*D129, 2)</f>
        <v>1000.85</v>
      </c>
      <c r="E130" s="17">
        <f t="shared" si="26"/>
        <v>1729.21</v>
      </c>
      <c r="F130" s="17">
        <f t="shared" si="26"/>
        <v>1291.69</v>
      </c>
      <c r="G130" s="17">
        <f t="shared" si="26"/>
        <v>1282.8699999999999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3920.17</v>
      </c>
      <c r="D133" s="16">
        <f>'Income Statement'!D5</f>
        <v>4139.9399999999996</v>
      </c>
      <c r="E133" s="16">
        <f>'Income Statement'!E5</f>
        <v>2833.03</v>
      </c>
      <c r="F133" s="16">
        <f>'Income Statement'!F5</f>
        <v>2699.21</v>
      </c>
      <c r="G133" s="16">
        <f>'Income Statement'!G5</f>
        <v>3230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962.45</v>
      </c>
      <c r="D134" s="16">
        <f>'Balance Sheet'!D37</f>
        <v>1260.69</v>
      </c>
      <c r="E134" s="16">
        <f>'Balance Sheet'!E37</f>
        <v>1242.69</v>
      </c>
      <c r="F134" s="16">
        <f>'Balance Sheet'!F37</f>
        <v>917.65</v>
      </c>
      <c r="G134" s="16">
        <f>'Balance Sheet'!G37</f>
        <v>918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89.61</v>
      </c>
      <c r="D135" s="17">
        <f t="shared" ref="D135:G135" si="27">ROUND(365/D133*D134, 2)</f>
        <v>111.15</v>
      </c>
      <c r="E135" s="17">
        <f t="shared" si="27"/>
        <v>160.1</v>
      </c>
      <c r="F135" s="17">
        <f t="shared" si="27"/>
        <v>124.09</v>
      </c>
      <c r="G135" s="17">
        <f t="shared" si="27"/>
        <v>103.74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3920.17</v>
      </c>
      <c r="D138" s="16">
        <f>'Income Statement'!D5</f>
        <v>4139.9399999999996</v>
      </c>
      <c r="E138" s="16">
        <f>'Income Statement'!E5</f>
        <v>2833.03</v>
      </c>
      <c r="F138" s="16">
        <f>'Income Statement'!F5</f>
        <v>2699.21</v>
      </c>
      <c r="G138" s="16">
        <f>'Income Statement'!G5</f>
        <v>3230</v>
      </c>
    </row>
    <row r="139" spans="2:12" ht="18.75" x14ac:dyDescent="0.25">
      <c r="B139" s="15" t="str">
        <f>'Balance Sheet'!B36</f>
        <v>Inventories</v>
      </c>
      <c r="C139" s="16">
        <f>'Balance Sheet'!C36</f>
        <v>855.71</v>
      </c>
      <c r="D139" s="16">
        <f>'Balance Sheet'!D36</f>
        <v>819.36</v>
      </c>
      <c r="E139" s="16">
        <f>'Balance Sheet'!E36</f>
        <v>689.83</v>
      </c>
      <c r="F139" s="16">
        <f>'Balance Sheet'!F36</f>
        <v>798.88</v>
      </c>
      <c r="G139" s="16">
        <f>'Balance Sheet'!G36</f>
        <v>769</v>
      </c>
    </row>
    <row r="140" spans="2:12" ht="18.75" x14ac:dyDescent="0.25">
      <c r="B140" s="15" t="s">
        <v>192</v>
      </c>
      <c r="C140" s="16">
        <f>ROUND(365/C138*C139, 2)</f>
        <v>79.67</v>
      </c>
      <c r="D140" s="16">
        <f t="shared" ref="D140:G140" si="28">ROUND(365/D138*D139, 2)</f>
        <v>72.239999999999995</v>
      </c>
      <c r="E140" s="16">
        <f t="shared" si="28"/>
        <v>88.88</v>
      </c>
      <c r="F140" s="16">
        <f t="shared" si="28"/>
        <v>108.03</v>
      </c>
      <c r="G140" s="16">
        <f t="shared" si="28"/>
        <v>86.9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867.53</v>
      </c>
      <c r="D141" s="16">
        <f>'Income Statement'!D11</f>
        <v>854.18</v>
      </c>
      <c r="E141" s="16">
        <f>'Income Statement'!E11</f>
        <v>621.72</v>
      </c>
      <c r="F141" s="16">
        <f>'Income Statement'!F11</f>
        <v>682.43</v>
      </c>
      <c r="G141" s="16">
        <f>'Income Statement'!G11</f>
        <v>612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2319.5100000000002</v>
      </c>
      <c r="D142" s="16">
        <f>'Balance Sheet'!D19</f>
        <v>2342.2199999999998</v>
      </c>
      <c r="E142" s="16">
        <f>'Balance Sheet'!E19</f>
        <v>2945.44</v>
      </c>
      <c r="F142" s="16">
        <f>'Balance Sheet'!F19</f>
        <v>2415.0299999999997</v>
      </c>
      <c r="G142" s="16">
        <f>'Balance Sheet'!G19</f>
        <v>2151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975.9</v>
      </c>
      <c r="D143" s="16">
        <f t="shared" ref="D143:G143" si="29">ROUND(365/D141*D142, 2)</f>
        <v>1000.85</v>
      </c>
      <c r="E143" s="16">
        <f t="shared" si="29"/>
        <v>1729.21</v>
      </c>
      <c r="F143" s="16">
        <f t="shared" si="29"/>
        <v>1291.69</v>
      </c>
      <c r="G143" s="16">
        <f t="shared" si="29"/>
        <v>1282.8699999999999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1055.57</v>
      </c>
      <c r="D144" s="28">
        <f t="shared" ref="D144:G144" si="30">ROUND(D143+D140, 2)</f>
        <v>1073.0899999999999</v>
      </c>
      <c r="E144" s="28">
        <f t="shared" si="30"/>
        <v>1818.09</v>
      </c>
      <c r="F144" s="28">
        <f t="shared" si="30"/>
        <v>1399.72</v>
      </c>
      <c r="G144" s="28">
        <f t="shared" si="30"/>
        <v>1369.77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3920.17</v>
      </c>
      <c r="D147" s="16">
        <f>'Income Statement'!D5</f>
        <v>4139.9399999999996</v>
      </c>
      <c r="E147" s="16">
        <f>'Income Statement'!E5</f>
        <v>2833.03</v>
      </c>
      <c r="F147" s="16">
        <f>'Income Statement'!F5</f>
        <v>2699.21</v>
      </c>
      <c r="G147" s="16">
        <f>'Income Statement'!G5</f>
        <v>3230</v>
      </c>
    </row>
    <row r="148" spans="2:12" ht="18.75" x14ac:dyDescent="0.25">
      <c r="B148" s="15" t="str">
        <f>'Balance Sheet'!B36</f>
        <v>Inventories</v>
      </c>
      <c r="C148" s="16">
        <f>'Balance Sheet'!C36</f>
        <v>855.71</v>
      </c>
      <c r="D148" s="16">
        <f>'Balance Sheet'!D36</f>
        <v>819.36</v>
      </c>
      <c r="E148" s="16">
        <f>'Balance Sheet'!E36</f>
        <v>689.83</v>
      </c>
      <c r="F148" s="16">
        <f>'Balance Sheet'!F36</f>
        <v>798.88</v>
      </c>
      <c r="G148" s="16">
        <f>'Balance Sheet'!G36</f>
        <v>769</v>
      </c>
    </row>
    <row r="149" spans="2:12" ht="18.75" x14ac:dyDescent="0.25">
      <c r="B149" s="15" t="s">
        <v>192</v>
      </c>
      <c r="C149" s="16">
        <f>ROUND(365/C147*C148, 2)</f>
        <v>79.67</v>
      </c>
      <c r="D149" s="16">
        <f t="shared" ref="D149:G149" si="31">ROUND(365/D147*D148, 2)</f>
        <v>72.239999999999995</v>
      </c>
      <c r="E149" s="16">
        <f t="shared" si="31"/>
        <v>88.88</v>
      </c>
      <c r="F149" s="16">
        <f t="shared" si="31"/>
        <v>108.03</v>
      </c>
      <c r="G149" s="16">
        <f t="shared" si="31"/>
        <v>86.9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867.53</v>
      </c>
      <c r="D150" s="16">
        <f>'Income Statement'!D11</f>
        <v>854.18</v>
      </c>
      <c r="E150" s="16">
        <f>'Income Statement'!E11</f>
        <v>621.72</v>
      </c>
      <c r="F150" s="16">
        <f>'Income Statement'!F11</f>
        <v>682.43</v>
      </c>
      <c r="G150" s="16">
        <f>'Income Statement'!G11</f>
        <v>612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2319.5100000000002</v>
      </c>
      <c r="D151" s="16">
        <f>'Balance Sheet'!D19</f>
        <v>2342.2199999999998</v>
      </c>
      <c r="E151" s="16">
        <f>'Balance Sheet'!E19</f>
        <v>2945.44</v>
      </c>
      <c r="F151" s="16">
        <f>'Balance Sheet'!F19</f>
        <v>2415.0299999999997</v>
      </c>
      <c r="G151" s="16">
        <f>'Balance Sheet'!G19</f>
        <v>2151</v>
      </c>
    </row>
    <row r="152" spans="2:12" ht="18.75" x14ac:dyDescent="0.25">
      <c r="B152" s="15" t="s">
        <v>194</v>
      </c>
      <c r="C152" s="16">
        <f>ROUND(365/C150*C151, 2)</f>
        <v>975.9</v>
      </c>
      <c r="D152" s="16">
        <f t="shared" ref="D152:G152" si="32">ROUND(365/D150*D151, 2)</f>
        <v>1000.85</v>
      </c>
      <c r="E152" s="16">
        <f t="shared" si="32"/>
        <v>1729.21</v>
      </c>
      <c r="F152" s="16">
        <f t="shared" si="32"/>
        <v>1291.69</v>
      </c>
      <c r="G152" s="16">
        <f t="shared" si="32"/>
        <v>1282.8699999999999</v>
      </c>
    </row>
    <row r="153" spans="2:12" ht="18.75" x14ac:dyDescent="0.25">
      <c r="B153" s="15" t="s">
        <v>200</v>
      </c>
      <c r="C153" s="16">
        <f>ROUND(C152+C149, 2)</f>
        <v>1055.57</v>
      </c>
      <c r="D153" s="16">
        <f t="shared" ref="D153:G153" si="33">ROUND(D152+D149, 2)</f>
        <v>1073.0899999999999</v>
      </c>
      <c r="E153" s="16">
        <f t="shared" si="33"/>
        <v>1818.09</v>
      </c>
      <c r="F153" s="16">
        <f t="shared" si="33"/>
        <v>1399.72</v>
      </c>
      <c r="G153" s="16">
        <f t="shared" si="33"/>
        <v>1369.77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867.53</v>
      </c>
      <c r="D154" s="16">
        <f>'Income Statement'!D11</f>
        <v>854.18</v>
      </c>
      <c r="E154" s="16">
        <f>'Income Statement'!E11</f>
        <v>621.72</v>
      </c>
      <c r="F154" s="16">
        <f>'Income Statement'!F11</f>
        <v>682.43</v>
      </c>
      <c r="G154" s="16">
        <f>'Income Statement'!G11</f>
        <v>612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2319.5100000000002</v>
      </c>
      <c r="D155" s="16">
        <f>'Balance Sheet'!D19</f>
        <v>2342.2199999999998</v>
      </c>
      <c r="E155" s="16">
        <f>'Balance Sheet'!E19</f>
        <v>2945.44</v>
      </c>
      <c r="F155" s="16">
        <f>'Balance Sheet'!F19</f>
        <v>2415.0299999999997</v>
      </c>
      <c r="G155" s="16">
        <f>'Balance Sheet'!G19</f>
        <v>2151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975.9</v>
      </c>
      <c r="D156" s="16">
        <f t="shared" ref="D156:G156" si="34">ROUND(365/D154*D155, 2)</f>
        <v>1000.85</v>
      </c>
      <c r="E156" s="16">
        <f t="shared" si="34"/>
        <v>1729.21</v>
      </c>
      <c r="F156" s="16">
        <f t="shared" si="34"/>
        <v>1291.69</v>
      </c>
      <c r="G156" s="16">
        <f t="shared" si="34"/>
        <v>1282.8699999999999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-79.67</v>
      </c>
      <c r="D157" s="28">
        <f t="shared" ref="D157:G157" si="35">ROUND(D156-D153, 2)</f>
        <v>-72.239999999999995</v>
      </c>
      <c r="E157" s="28">
        <f t="shared" si="35"/>
        <v>-88.88</v>
      </c>
      <c r="F157" s="28">
        <f t="shared" si="35"/>
        <v>-108.03</v>
      </c>
      <c r="G157" s="28">
        <f t="shared" si="35"/>
        <v>-86.9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D768D74F-3907-4B55-9060-06014A6B1AB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DEB1E4C6-8413-46B7-8757-B8632F1991C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09D146D8-856E-4537-809F-DEFCE1FD49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22E427B8-2900-4AC5-82DD-84AD3F5BEA5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A80DC926-22D9-48E6-9CF1-8A8786BBB8F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5EDC6452-6CC4-48D7-BE13-F2CEF3A05A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F505915F-2C97-4130-B603-F83A381A381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FC0B9F70-598A-4486-81D8-241ED3FC7EF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37F4B442-F878-460D-965E-7FD34D46A6E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AE0EF27D-2CC0-4C1A-93E0-EFCAEA37FCC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0B4B96CC-3B3F-4F5D-89F4-B5D9B198299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51AB484E-1008-471E-B5CA-72552EC61E1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AF780505-4812-4F44-A671-83CB2778785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DE04B87A-4847-42E1-A8A4-62B7A725910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F9E03527-A940-44B1-BD76-140542AA061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27597B7F-AEA6-4A94-9440-08D7E9F38F0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78ABA54D-59D9-4470-B1D6-1B65BEB3CA6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9E9E5248-765B-45C3-A904-E9E91DE6225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BF390726-2750-4E68-8302-70C6665682D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C9211DDA-7E48-4ADD-B724-93934420785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31BF8879-6832-4667-99C3-82A9C77F58A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CBA1A52C-7497-414B-BDF9-7D63D1A5135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F01094C9-DB59-463A-87B8-7A837C88793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C0BC738F-D7B1-4CE6-B995-06E69B13432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03531FE2-800C-4005-B8BA-D15497DB99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304D8563-5A21-4AC2-A57C-E64AD53F781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7CA36296-9A60-473A-897E-E6AA53603A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9F808-B342-41B6-9E38-2B848199EC8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5" width="10" bestFit="1" customWidth="1"/>
    <col min="6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246.42000000000041</v>
      </c>
      <c r="D6" s="16">
        <f>'Income Statement'!D27</f>
        <v>725.34999999999991</v>
      </c>
      <c r="E6" s="16">
        <f>'Income Statement'!E27</f>
        <v>432.82000000000016</v>
      </c>
      <c r="F6" s="16">
        <f>'Income Statement'!F27</f>
        <v>1617.56</v>
      </c>
      <c r="G6" s="16">
        <f>'Income Statement'!G27</f>
        <v>376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-4.4803636363636441</v>
      </c>
      <c r="D7" s="16">
        <f>'Income Statement'!D35</f>
        <v>-40.297222222222217</v>
      </c>
      <c r="E7" s="16">
        <f>'Income Statement'!E35</f>
        <v>-72.136666666666699</v>
      </c>
      <c r="F7" s="16">
        <f>'Income Statement'!F35</f>
        <v>26.089677419354839</v>
      </c>
      <c r="G7" s="16">
        <f>'Income Statement'!G35</f>
        <v>-18.8</v>
      </c>
    </row>
    <row r="8" spans="2:7" ht="18.75" x14ac:dyDescent="0.25">
      <c r="B8" s="17" t="s">
        <v>146</v>
      </c>
      <c r="C8" s="17">
        <f>ROUND(C6/C7, 2)</f>
        <v>-55</v>
      </c>
      <c r="D8" s="17">
        <f t="shared" ref="D8:G8" si="0">ROUND(D6/D7, 2)</f>
        <v>-18</v>
      </c>
      <c r="E8" s="17">
        <f t="shared" si="0"/>
        <v>-6</v>
      </c>
      <c r="F8" s="17">
        <f t="shared" si="0"/>
        <v>62</v>
      </c>
      <c r="G8" s="17">
        <f t="shared" si="0"/>
        <v>-20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22B2-A9C3-496B-9B54-B047CE6E99B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8.140625" bestFit="1" customWidth="1"/>
    <col min="4" max="5" width="9.42578125" bestFit="1" customWidth="1"/>
    <col min="6" max="6" width="8.42578125" bestFit="1" customWidth="1"/>
    <col min="7" max="7" width="9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0</v>
      </c>
      <c r="D6" s="16">
        <f>'Income Statement'!D28</f>
        <v>0</v>
      </c>
      <c r="E6" s="16">
        <f>'Income Statement'!E28</f>
        <v>0</v>
      </c>
      <c r="F6" s="16">
        <f>'Income Statement'!F28</f>
        <v>0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-4.4803636363636441</v>
      </c>
      <c r="D7" s="16">
        <f>'Income Statement'!D35</f>
        <v>-40.297222222222217</v>
      </c>
      <c r="E7" s="16">
        <f>'Income Statement'!E35</f>
        <v>-72.136666666666699</v>
      </c>
      <c r="F7" s="16">
        <f>'Income Statement'!F35</f>
        <v>26.089677419354839</v>
      </c>
      <c r="G7" s="16">
        <f>'Income Statement'!G35</f>
        <v>-18.8</v>
      </c>
    </row>
    <row r="8" spans="2:7" ht="18.75" x14ac:dyDescent="0.25">
      <c r="B8" s="17" t="s">
        <v>148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71987-BE17-4800-979F-62CD8390BD2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1.7109375" bestFit="1" customWidth="1"/>
    <col min="4" max="6" width="11.5703125" bestFit="1" customWidth="1"/>
    <col min="7" max="7" width="11.71093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2852.15</v>
      </c>
      <c r="D6" s="16">
        <f>'Balance Sheet'!D9</f>
        <v>3577.52</v>
      </c>
      <c r="E6" s="16">
        <f>'Balance Sheet'!E9</f>
        <v>4010.37</v>
      </c>
      <c r="F6" s="16">
        <f>'Balance Sheet'!F9</f>
        <v>5627.95</v>
      </c>
      <c r="G6" s="16">
        <f>'Balance Sheet'!G9</f>
        <v>6020.5599999999995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-4.4803636363636441</v>
      </c>
      <c r="D7" s="16">
        <f>'Income Statement'!D35</f>
        <v>-40.297222222222217</v>
      </c>
      <c r="E7" s="16">
        <f>'Income Statement'!E35</f>
        <v>-72.136666666666699</v>
      </c>
      <c r="F7" s="16">
        <f>'Income Statement'!F35</f>
        <v>26.089677419354839</v>
      </c>
      <c r="G7" s="16">
        <f>'Income Statement'!G35</f>
        <v>-18.8</v>
      </c>
    </row>
    <row r="8" spans="2:7" ht="18.75" x14ac:dyDescent="0.25">
      <c r="B8" s="17" t="s">
        <v>150</v>
      </c>
      <c r="C8" s="17">
        <f>ROUND(C6/C7, 2)</f>
        <v>-636.59</v>
      </c>
      <c r="D8" s="17">
        <f t="shared" ref="D8:G8" si="0">ROUND(D6/D7, 2)</f>
        <v>-88.78</v>
      </c>
      <c r="E8" s="17">
        <f t="shared" si="0"/>
        <v>-55.59</v>
      </c>
      <c r="F8" s="17">
        <f t="shared" si="0"/>
        <v>215.72</v>
      </c>
      <c r="G8" s="17">
        <f t="shared" si="0"/>
        <v>-320.24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2022-07-03T11:58:29Z</dcterms:created>
  <dcterms:modified xsi:type="dcterms:W3CDTF">2022-07-04T06:40:13Z</dcterms:modified>
</cp:coreProperties>
</file>