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3B3B7681-AE14-4F3F-9373-20CEAF97D75D}" xr6:coauthVersionLast="47" xr6:coauthVersionMax="47" xr10:uidLastSave="{00000000-0000-0000-0000-000000000000}"/>
  <bookViews>
    <workbookView xWindow="-120" yWindow="-120" windowWidth="20730" windowHeight="11160" firstSheet="42" activeTab="44" xr2:uid="{B76AD56D-29F5-4425-80FD-66471A679294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/>
  <c r="G8" i="4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F9" i="4"/>
  <c r="F21" i="4" s="1"/>
  <c r="G9" i="4"/>
  <c r="G21" i="4" s="1"/>
  <c r="D7" i="4"/>
  <c r="E7" i="4"/>
  <c r="F7" i="4"/>
  <c r="G7" i="4"/>
  <c r="C40" i="4"/>
  <c r="C39" i="4"/>
  <c r="C30" i="4"/>
  <c r="C26" i="4"/>
  <c r="C19" i="4"/>
  <c r="C13" i="4"/>
  <c r="C9" i="4"/>
  <c r="C21" i="4" s="1"/>
  <c r="C7" i="4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D39" i="4" l="1"/>
  <c r="E38" i="4"/>
  <c r="D40" i="4"/>
  <c r="F38" i="4" l="1"/>
  <c r="E39" i="4"/>
  <c r="E40" i="4" s="1"/>
  <c r="G38" i="4" l="1"/>
  <c r="G39" i="4" s="1"/>
  <c r="G40" i="4" s="1"/>
  <c r="F39" i="4"/>
  <c r="F40" i="4" s="1"/>
</calcChain>
</file>

<file path=xl/sharedStrings.xml><?xml version="1.0" encoding="utf-8"?>
<sst xmlns="http://schemas.openxmlformats.org/spreadsheetml/2006/main" count="490" uniqueCount="203">
  <si>
    <t>Balance Sheet of Maruti Suzuki India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</si>
  <si>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</si>
  <si>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</si>
  <si>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</si>
  <si>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</si>
  <si>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</si>
  <si>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</si>
  <si>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</si>
  <si>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</si>
  <si>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</si>
  <si>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</si>
  <si>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</si>
  <si>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</si>
  <si>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</si>
  <si>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</si>
  <si>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</si>
  <si>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</si>
  <si>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</si>
  <si>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</si>
  <si>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</si>
  <si>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</si>
  <si>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</si>
  <si>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</si>
  <si>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</si>
  <si>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</si>
  <si>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</si>
  <si>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</si>
  <si>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</si>
  <si>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</si>
  <si>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</si>
  <si>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</si>
  <si>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</si>
  <si>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</si>
  <si>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</si>
  <si>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</si>
  <si>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</si>
  <si>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</si>
  <si>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</si>
  <si>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</si>
  <si>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</si>
  <si>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</si>
  <si>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</si>
  <si>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</si>
  <si>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</si>
  <si>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</si>
  <si>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</si>
  <si>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</si>
  <si>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</si>
  <si>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</si>
  <si>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</si>
  <si>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</si>
  <si>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</si>
  <si>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</si>
  <si>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</si>
  <si>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</si>
  <si>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Maruti Suzuki India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</si>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</sst>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261</c:v>
                </c:pt>
                <c:pt idx="1">
                  <c:v>253</c:v>
                </c:pt>
                <c:pt idx="2">
                  <c:v>188</c:v>
                </c:pt>
                <c:pt idx="3">
                  <c:v>145</c:v>
                </c:pt>
                <c:pt idx="4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149-4D9B-8E76-18368D45C8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568"/>
        <c:axId val="553816552"/>
      </c:lineChart>
      <c:catAx>
        <c:axId val="55381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552"/>
        <c:crosses val="autoZero"/>
        <c:auto val="0"/>
        <c:lblAlgn val="ctr"/>
        <c:lblOffset val="100"/>
        <c:noMultiLvlLbl val="0"/>
      </c:catAx>
      <c:valAx>
        <c:axId val="553816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A6C-4186-AAF6-45A67C910F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0.19</c:v>
                </c:pt>
                <c:pt idx="1">
                  <c:v>0.17</c:v>
                </c:pt>
                <c:pt idx="2">
                  <c:v>0.13</c:v>
                </c:pt>
                <c:pt idx="3">
                  <c:v>0.1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6C-4186-AAF6-45A67C910F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094784"/>
        <c:axId val="630030160"/>
      </c:lineChart>
      <c:catAx>
        <c:axId val="621094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0030160"/>
        <c:crosses val="autoZero"/>
        <c:auto val="0"/>
        <c:lblAlgn val="ctr"/>
        <c:lblOffset val="100"/>
        <c:noMultiLvlLbl val="0"/>
      </c:catAx>
      <c:valAx>
        <c:axId val="630030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10947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663-489A-B7C1-721D284C1E9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663-489A-B7C1-721D284C1E9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0.02</c:v>
                </c:pt>
                <c:pt idx="1">
                  <c:v>0.01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63-489A-B7C1-721D284C1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0030488"/>
        <c:axId val="630030816"/>
      </c:lineChart>
      <c:catAx>
        <c:axId val="630030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0030816"/>
        <c:crosses val="autoZero"/>
        <c:auto val="0"/>
        <c:lblAlgn val="ctr"/>
        <c:lblOffset val="100"/>
        <c:noMultiLvlLbl val="0"/>
      </c:catAx>
      <c:valAx>
        <c:axId val="6300308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00304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52B-48DB-90F6-7B9CE87599D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52B-48DB-90F6-7B9CE87599D6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52B-48DB-90F6-7B9CE87599D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A52B-48DB-90F6-7B9CE87599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0.51</c:v>
                </c:pt>
                <c:pt idx="1">
                  <c:v>1.53</c:v>
                </c:pt>
                <c:pt idx="2">
                  <c:v>3.17</c:v>
                </c:pt>
                <c:pt idx="3">
                  <c:v>3.45</c:v>
                </c:pt>
                <c:pt idx="4">
                  <c:v>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2B-48DB-90F6-7B9CE8759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4912"/>
        <c:axId val="553816224"/>
      </c:lineChart>
      <c:catAx>
        <c:axId val="55381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224"/>
        <c:crosses val="autoZero"/>
        <c:auto val="0"/>
        <c:lblAlgn val="ctr"/>
        <c:lblOffset val="100"/>
        <c:noMultiLvlLbl val="0"/>
      </c:catAx>
      <c:valAx>
        <c:axId val="55381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49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ED0-47FF-9020-B8E085532B5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ED0-47FF-9020-B8E085532B5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ED0-47FF-9020-B8E085532B5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ED0-47FF-9020-B8E085532B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0.32</c:v>
                </c:pt>
                <c:pt idx="1">
                  <c:v>1.32</c:v>
                </c:pt>
                <c:pt idx="2">
                  <c:v>2.93</c:v>
                </c:pt>
                <c:pt idx="3">
                  <c:v>3.28</c:v>
                </c:pt>
                <c:pt idx="4">
                  <c:v>4.6100000000000003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ED0-47FF-9020-B8E085532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624"/>
        <c:axId val="553593296"/>
      </c:lineChart>
      <c:catAx>
        <c:axId val="553593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296"/>
        <c:crosses val="autoZero"/>
        <c:auto val="0"/>
        <c:lblAlgn val="ctr"/>
        <c:lblOffset val="100"/>
        <c:noMultiLvlLbl val="0"/>
      </c:catAx>
      <c:valAx>
        <c:axId val="553593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60F-49FC-9798-4B898119AD5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60F-49FC-9798-4B898119AD5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60F-49FC-9798-4B898119AD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56.68</c:v>
                </c:pt>
                <c:pt idx="1">
                  <c:v>298.16000000000003</c:v>
                </c:pt>
                <c:pt idx="2">
                  <c:v>160.72999999999999</c:v>
                </c:pt>
                <c:pt idx="3">
                  <c:v>185.74</c:v>
                </c:pt>
                <c:pt idx="4">
                  <c:v>208.82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60F-49FC-9798-4B898119A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8880"/>
        <c:axId val="446761504"/>
      </c:lineChart>
      <c:catAx>
        <c:axId val="44675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1504"/>
        <c:crosses val="autoZero"/>
        <c:auto val="0"/>
        <c:lblAlgn val="ctr"/>
        <c:lblOffset val="100"/>
        <c:noMultiLvlLbl val="0"/>
      </c:catAx>
      <c:valAx>
        <c:axId val="4467615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8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539-46D0-BA50-7416B014ACA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0.57999999999999996</c:v>
                </c:pt>
                <c:pt idx="1">
                  <c:v>0.54</c:v>
                </c:pt>
                <c:pt idx="2">
                  <c:v>0.48</c:v>
                </c:pt>
                <c:pt idx="3">
                  <c:v>0.5</c:v>
                </c:pt>
                <c:pt idx="4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539-46D0-BA50-7416B014A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6496"/>
        <c:axId val="450787152"/>
      </c:lineChart>
      <c:catAx>
        <c:axId val="45078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7152"/>
        <c:crosses val="autoZero"/>
        <c:auto val="0"/>
        <c:lblAlgn val="ctr"/>
        <c:lblOffset val="100"/>
        <c:noMultiLvlLbl val="0"/>
      </c:catAx>
      <c:valAx>
        <c:axId val="450787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6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E1B-4740-A219-C43521714E3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E1B-4740-A219-C43521714E36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E1B-4740-A219-C43521714E3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DE1B-4740-A219-C43521714E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0.6</c:v>
                </c:pt>
                <c:pt idx="1">
                  <c:v>124.38</c:v>
                </c:pt>
                <c:pt idx="2">
                  <c:v>353.68</c:v>
                </c:pt>
                <c:pt idx="3">
                  <c:v>578.95000000000005</c:v>
                </c:pt>
                <c:pt idx="4">
                  <c:v>716.04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1B-4740-A219-C43521714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60520"/>
        <c:axId val="446763472"/>
      </c:lineChart>
      <c:catAx>
        <c:axId val="44676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3472"/>
        <c:crosses val="autoZero"/>
        <c:auto val="0"/>
        <c:lblAlgn val="ctr"/>
        <c:lblOffset val="100"/>
        <c:noMultiLvlLbl val="0"/>
      </c:catAx>
      <c:valAx>
        <c:axId val="446763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605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0DE-42DD-B0D9-17C6319A482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0DE-42DD-B0D9-17C6319A482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0DE-42DD-B0D9-17C6319A482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0DE-42DD-B0D9-17C6319A482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74</c:v>
                </c:pt>
                <c:pt idx="1">
                  <c:v>15343.5</c:v>
                </c:pt>
                <c:pt idx="2">
                  <c:v>33560.5</c:v>
                </c:pt>
                <c:pt idx="3">
                  <c:v>52814</c:v>
                </c:pt>
                <c:pt idx="4">
                  <c:v>77959.7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DE-42DD-B0D9-17C6319A48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60848"/>
        <c:axId val="446755272"/>
      </c:lineChart>
      <c:catAx>
        <c:axId val="446760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5272"/>
        <c:crosses val="autoZero"/>
        <c:auto val="0"/>
        <c:lblAlgn val="ctr"/>
        <c:lblOffset val="100"/>
        <c:noMultiLvlLbl val="0"/>
      </c:catAx>
      <c:valAx>
        <c:axId val="446755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60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75A-48A4-A755-981045885F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1.33</c:v>
                </c:pt>
                <c:pt idx="1">
                  <c:v>1.0900000000000001</c:v>
                </c:pt>
                <c:pt idx="2">
                  <c:v>0.79</c:v>
                </c:pt>
                <c:pt idx="3">
                  <c:v>0.6</c:v>
                </c:pt>
                <c:pt idx="4">
                  <c:v>0.61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75A-48A4-A755-981045885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069304"/>
        <c:axId val="453069960"/>
      </c:lineChart>
      <c:catAx>
        <c:axId val="453069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9960"/>
        <c:crosses val="autoZero"/>
        <c:auto val="0"/>
        <c:lblAlgn val="ctr"/>
        <c:lblOffset val="100"/>
        <c:noMultiLvlLbl val="0"/>
      </c:catAx>
      <c:valAx>
        <c:axId val="453069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069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29F-4410-A910-0BFB36F88B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25.43</c:v>
                </c:pt>
                <c:pt idx="1">
                  <c:v>24.99</c:v>
                </c:pt>
                <c:pt idx="2">
                  <c:v>22.31</c:v>
                </c:pt>
                <c:pt idx="3">
                  <c:v>21.83</c:v>
                </c:pt>
                <c:pt idx="4">
                  <c:v>23.72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9F-4410-A910-0BFB36F88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464"/>
        <c:axId val="621096424"/>
      </c:lineChart>
      <c:catAx>
        <c:axId val="44784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096424"/>
        <c:crosses val="autoZero"/>
        <c:auto val="0"/>
        <c:lblAlgn val="ctr"/>
        <c:lblOffset val="100"/>
        <c:noMultiLvlLbl val="0"/>
      </c:catAx>
      <c:valAx>
        <c:axId val="621096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42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37.03</c:v>
                </c:pt>
                <c:pt idx="1">
                  <c:v>31.22</c:v>
                </c:pt>
                <c:pt idx="2">
                  <c:v>22.7</c:v>
                </c:pt>
                <c:pt idx="3">
                  <c:v>14.7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EA-4336-AE7A-25B5E9F12C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064712"/>
        <c:axId val="453067992"/>
      </c:lineChart>
      <c:catAx>
        <c:axId val="453064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7992"/>
        <c:crosses val="autoZero"/>
        <c:auto val="0"/>
        <c:lblAlgn val="ctr"/>
        <c:lblOffset val="100"/>
        <c:noMultiLvlLbl val="0"/>
      </c:catAx>
      <c:valAx>
        <c:axId val="453067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0647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3CA-42D8-9E88-A862F6A73DE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3CA-42D8-9E88-A862F6A73D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54.83</c:v>
                </c:pt>
                <c:pt idx="1">
                  <c:v>35.9</c:v>
                </c:pt>
                <c:pt idx="2">
                  <c:v>36.26</c:v>
                </c:pt>
                <c:pt idx="3">
                  <c:v>52.01</c:v>
                </c:pt>
                <c:pt idx="4">
                  <c:v>41.19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CA-42D8-9E88-A862F6A73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1824"/>
        <c:axId val="446642808"/>
      </c:lineChart>
      <c:catAx>
        <c:axId val="446641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42808"/>
        <c:crosses val="autoZero"/>
        <c:auto val="0"/>
        <c:lblAlgn val="ctr"/>
        <c:lblOffset val="100"/>
        <c:noMultiLvlLbl val="0"/>
      </c:catAx>
      <c:valAx>
        <c:axId val="446642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18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A9E-4D3D-8C7A-0A0CE9613B7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6.14</c:v>
                </c:pt>
                <c:pt idx="1">
                  <c:v>5.54</c:v>
                </c:pt>
                <c:pt idx="2">
                  <c:v>4.6500000000000004</c:v>
                </c:pt>
                <c:pt idx="3">
                  <c:v>4.51</c:v>
                </c:pt>
                <c:pt idx="4">
                  <c:v>5.0199999999999996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9E-4D3D-8C7A-0A0CE9613B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519864"/>
        <c:axId val="446520192"/>
      </c:lineChart>
      <c:catAx>
        <c:axId val="44651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520192"/>
        <c:crosses val="autoZero"/>
        <c:auto val="0"/>
        <c:lblAlgn val="ctr"/>
        <c:lblOffset val="100"/>
        <c:noMultiLvlLbl val="0"/>
      </c:catAx>
      <c:valAx>
        <c:axId val="446520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519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298-4A2B-8C8F-E7E209554E2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298-4A2B-8C8F-E7E209554E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2.65</c:v>
                </c:pt>
                <c:pt idx="1">
                  <c:v>2.8</c:v>
                </c:pt>
                <c:pt idx="2">
                  <c:v>2.58</c:v>
                </c:pt>
                <c:pt idx="3">
                  <c:v>1.87</c:v>
                </c:pt>
                <c:pt idx="4">
                  <c:v>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98-4A2B-8C8F-E7E209554E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1368"/>
        <c:axId val="548324120"/>
      </c:lineChart>
      <c:catAx>
        <c:axId val="54954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120"/>
        <c:crosses val="autoZero"/>
        <c:auto val="0"/>
        <c:lblAlgn val="ctr"/>
        <c:lblOffset val="100"/>
        <c:noMultiLvlLbl val="0"/>
      </c:catAx>
      <c:valAx>
        <c:axId val="548324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1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217-48D3-8F50-65A91B28B3B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217-48D3-8F50-65A91B28B3B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217-48D3-8F50-65A91B28B3B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14.36</c:v>
                </c:pt>
                <c:pt idx="1">
                  <c:v>14.6</c:v>
                </c:pt>
                <c:pt idx="2">
                  <c:v>16.36</c:v>
                </c:pt>
                <c:pt idx="3">
                  <c:v>16.72</c:v>
                </c:pt>
                <c:pt idx="4">
                  <c:v>15.39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17-48D3-8F50-65A91B28B3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6436584"/>
        <c:axId val="560418464"/>
      </c:lineChart>
      <c:catAx>
        <c:axId val="556436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8464"/>
        <c:crosses val="autoZero"/>
        <c:auto val="0"/>
        <c:lblAlgn val="ctr"/>
        <c:lblOffset val="100"/>
        <c:noMultiLvlLbl val="0"/>
      </c:catAx>
      <c:valAx>
        <c:axId val="560418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64365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852-4DA8-9967-381F04DD695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852-4DA8-9967-381F04DD69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137.66</c:v>
                </c:pt>
                <c:pt idx="1">
                  <c:v>130.41</c:v>
                </c:pt>
                <c:pt idx="2">
                  <c:v>141.49</c:v>
                </c:pt>
                <c:pt idx="3">
                  <c:v>195.62</c:v>
                </c:pt>
                <c:pt idx="4">
                  <c:v>173.96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852-4DA8-9967-381F04DD6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6496"/>
        <c:axId val="560417152"/>
      </c:lineChart>
      <c:catAx>
        <c:axId val="56041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7152"/>
        <c:crosses val="autoZero"/>
        <c:auto val="0"/>
        <c:lblAlgn val="ctr"/>
        <c:lblOffset val="100"/>
        <c:noMultiLvlLbl val="0"/>
      </c:catAx>
      <c:valAx>
        <c:axId val="560417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416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D09-4D51-9889-BC6B74C3635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D09-4D51-9889-BC6B74C3635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6.66</c:v>
                </c:pt>
                <c:pt idx="1">
                  <c:v>10.17</c:v>
                </c:pt>
                <c:pt idx="2">
                  <c:v>10.07</c:v>
                </c:pt>
                <c:pt idx="3">
                  <c:v>7.02</c:v>
                </c:pt>
                <c:pt idx="4">
                  <c:v>8.86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09-4D51-9889-BC6B74C36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813976"/>
        <c:axId val="555809056"/>
      </c:lineChart>
      <c:catAx>
        <c:axId val="555813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09056"/>
        <c:crosses val="autoZero"/>
        <c:auto val="0"/>
        <c:lblAlgn val="ctr"/>
        <c:lblOffset val="100"/>
        <c:noMultiLvlLbl val="0"/>
      </c:catAx>
      <c:valAx>
        <c:axId val="555809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8139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7C9-4CD4-912C-77AE614F655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7C9-4CD4-912C-77AE614F655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152.02000000000001</c:v>
                </c:pt>
                <c:pt idx="1">
                  <c:v>145.01</c:v>
                </c:pt>
                <c:pt idx="2">
                  <c:v>157.85</c:v>
                </c:pt>
                <c:pt idx="3">
                  <c:v>212.34</c:v>
                </c:pt>
                <c:pt idx="4">
                  <c:v>189.35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C9-4CD4-912C-77AE614F6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5264"/>
        <c:axId val="553648864"/>
      </c:lineChart>
      <c:catAx>
        <c:axId val="5535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864"/>
        <c:crosses val="autoZero"/>
        <c:auto val="0"/>
        <c:lblAlgn val="ctr"/>
        <c:lblOffset val="100"/>
        <c:noMultiLvlLbl val="0"/>
      </c:catAx>
      <c:valAx>
        <c:axId val="553648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5952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21F-4595-894C-B24DEC93E5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-14.36</c:v>
                </c:pt>
                <c:pt idx="1">
                  <c:v>-14.6</c:v>
                </c:pt>
                <c:pt idx="2">
                  <c:v>-16.36</c:v>
                </c:pt>
                <c:pt idx="3">
                  <c:v>-16.72</c:v>
                </c:pt>
                <c:pt idx="4">
                  <c:v>-15.39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1F-4595-894C-B24DEC93E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6696"/>
        <c:axId val="364048992"/>
      </c:lineChart>
      <c:catAx>
        <c:axId val="36404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992"/>
        <c:crosses val="autoZero"/>
        <c:auto val="0"/>
        <c:lblAlgn val="ctr"/>
        <c:lblOffset val="100"/>
        <c:noMultiLvlLbl val="0"/>
      </c:catAx>
      <c:valAx>
        <c:axId val="364048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6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42559.4</c:v>
                </c:pt>
                <c:pt idx="1">
                  <c:v>59227.000000000015</c:v>
                </c:pt>
                <c:pt idx="2">
                  <c:v>76324.400000000009</c:v>
                </c:pt>
                <c:pt idx="3">
                  <c:v>92386.700000000012</c:v>
                </c:pt>
                <c:pt idx="4">
                  <c:v>117878.70000000001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D1-42A4-ABC5-61673C732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808072"/>
        <c:axId val="555808400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60248.4</c:v>
                </c:pt>
                <c:pt idx="1">
                  <c:v>76103.60000000002</c:v>
                </c:pt>
                <c:pt idx="2">
                  <c:v>90539.1</c:v>
                </c:pt>
                <c:pt idx="3">
                  <c:v>111168.80000000002</c:v>
                </c:pt>
                <c:pt idx="4">
                  <c:v>137200.70000000001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D1-42A4-ABC5-61673C732A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808072"/>
        <c:axId val="555808400"/>
      </c:lineChart>
      <c:catAx>
        <c:axId val="5558080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08400"/>
        <c:crosses val="autoZero"/>
        <c:auto val="1"/>
        <c:lblAlgn val="ctr"/>
        <c:lblOffset val="100"/>
        <c:noMultiLvlLbl val="0"/>
      </c:catAx>
      <c:valAx>
        <c:axId val="555808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080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22360.700000000012</c:v>
                </c:pt>
                <c:pt idx="1">
                  <c:v>25650.900000000009</c:v>
                </c:pt>
                <c:pt idx="2">
                  <c:v>25098.6</c:v>
                </c:pt>
                <c:pt idx="3">
                  <c:v>21942.600000000006</c:v>
                </c:pt>
                <c:pt idx="4">
                  <c:v>29225.300000000003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98-45D9-8D94-F9EF1DA59B97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19600.900000000012</c:v>
                </c:pt>
                <c:pt idx="1">
                  <c:v>22630.100000000009</c:v>
                </c:pt>
                <c:pt idx="2">
                  <c:v>21570.199999999997</c:v>
                </c:pt>
                <c:pt idx="3">
                  <c:v>18908.500000000007</c:v>
                </c:pt>
                <c:pt idx="4">
                  <c:v>26436.300000000003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698-45D9-8D94-F9EF1DA59B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049976"/>
        <c:axId val="364043088"/>
      </c:barChart>
      <c:catAx>
        <c:axId val="364049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3088"/>
        <c:crosses val="autoZero"/>
        <c:auto val="1"/>
        <c:lblAlgn val="ctr"/>
        <c:lblOffset val="100"/>
        <c:noMultiLvlLbl val="0"/>
      </c:catAx>
      <c:valAx>
        <c:axId val="364043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99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343-43C0-BDF3-FE54C47B677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343-43C0-BDF3-FE54C47B67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695.6</c:v>
                </c:pt>
                <c:pt idx="1">
                  <c:v>765.25</c:v>
                </c:pt>
                <c:pt idx="2">
                  <c:v>717.06</c:v>
                </c:pt>
                <c:pt idx="3">
                  <c:v>749.44</c:v>
                </c:pt>
                <c:pt idx="4">
                  <c:v>591.89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43-43C0-BDF3-FE54C47B6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065696"/>
        <c:axId val="453066680"/>
      </c:lineChart>
      <c:catAx>
        <c:axId val="45306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066680"/>
        <c:crosses val="autoZero"/>
        <c:auto val="0"/>
        <c:lblAlgn val="ctr"/>
        <c:lblOffset val="100"/>
        <c:noMultiLvlLbl val="0"/>
      </c:catAx>
      <c:valAx>
        <c:axId val="453066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065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8604.4</c:v>
                </c:pt>
                <c:pt idx="1">
                  <c:v>24576.600000000013</c:v>
                </c:pt>
                <c:pt idx="2">
                  <c:v>42511.600000000006</c:v>
                </c:pt>
                <c:pt idx="3">
                  <c:v>61619.300000000017</c:v>
                </c:pt>
                <c:pt idx="4">
                  <c:v>90854.6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E4-4234-8B3F-E3F16A8CFDCB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16950.099999999999</c:v>
                </c:pt>
                <c:pt idx="1">
                  <c:v>16087.5</c:v>
                </c:pt>
                <c:pt idx="2">
                  <c:v>13426.300000000001</c:v>
                </c:pt>
                <c:pt idx="3">
                  <c:v>17845.099999999999</c:v>
                </c:pt>
                <c:pt idx="4">
                  <c:v>18940.099999999999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E4-4234-8B3F-E3F16A8CF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812992"/>
        <c:axId val="555810696"/>
      </c:barChart>
      <c:catAx>
        <c:axId val="55581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10696"/>
        <c:crosses val="autoZero"/>
        <c:auto val="1"/>
        <c:lblAlgn val="ctr"/>
        <c:lblOffset val="100"/>
        <c:noMultiLvlLbl val="0"/>
      </c:catAx>
      <c:valAx>
        <c:axId val="555810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129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26.5</c:v>
                </c:pt>
                <c:pt idx="1">
                  <c:v>39.5</c:v>
                </c:pt>
                <c:pt idx="2">
                  <c:v>51.6</c:v>
                </c:pt>
                <c:pt idx="3">
                  <c:v>44.7</c:v>
                </c:pt>
                <c:pt idx="4">
                  <c:v>84.4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FCD-4D70-995C-6E15202AC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435928"/>
        <c:axId val="556437568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560.9</c:v>
                </c:pt>
                <c:pt idx="1">
                  <c:v>625.4</c:v>
                </c:pt>
                <c:pt idx="2">
                  <c:v>680.7</c:v>
                </c:pt>
                <c:pt idx="3">
                  <c:v>742.8</c:v>
                </c:pt>
                <c:pt idx="4">
                  <c:v>861.3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CD-4D70-995C-6E15202ACB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885672"/>
        <c:axId val="622885016"/>
      </c:lineChart>
      <c:catAx>
        <c:axId val="55643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6437568"/>
        <c:crosses val="autoZero"/>
        <c:auto val="1"/>
        <c:lblAlgn val="ctr"/>
        <c:lblOffset val="100"/>
        <c:noMultiLvlLbl val="0"/>
      </c:catAx>
      <c:valAx>
        <c:axId val="556437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5928"/>
        <c:crosses val="autoZero"/>
        <c:crossBetween val="between"/>
      </c:valAx>
      <c:valAx>
        <c:axId val="6228850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2885672"/>
        <c:crosses val="max"/>
        <c:crossBetween val="between"/>
      </c:valAx>
      <c:catAx>
        <c:axId val="622885672"/>
        <c:scaling>
          <c:orientation val="minMax"/>
        </c:scaling>
        <c:delete val="1"/>
        <c:axPos val="b"/>
        <c:majorTickMark val="out"/>
        <c:minorTickMark val="none"/>
        <c:tickLblPos val="nextTo"/>
        <c:crossAx val="62288501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44943.199999999997</c:v>
                </c:pt>
                <c:pt idx="1">
                  <c:v>45025.7</c:v>
                </c:pt>
                <c:pt idx="2">
                  <c:v>34634.800000000003</c:v>
                </c:pt>
                <c:pt idx="3">
                  <c:v>33296.400000000001</c:v>
                </c:pt>
                <c:pt idx="4">
                  <c:v>39739.599999999999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C63-462C-90CA-14AE2418C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884032"/>
        <c:axId val="622881736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C63-462C-90CA-14AE2418C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416824"/>
        <c:axId val="621089208"/>
      </c:lineChart>
      <c:catAx>
        <c:axId val="62288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2881736"/>
        <c:crosses val="autoZero"/>
        <c:auto val="1"/>
        <c:lblAlgn val="ctr"/>
        <c:lblOffset val="100"/>
        <c:noMultiLvlLbl val="0"/>
      </c:catAx>
      <c:valAx>
        <c:axId val="622881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84032"/>
        <c:crosses val="autoZero"/>
        <c:crossBetween val="between"/>
      </c:valAx>
      <c:valAx>
        <c:axId val="6210892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60416824"/>
        <c:crosses val="max"/>
        <c:crossBetween val="between"/>
      </c:valAx>
      <c:catAx>
        <c:axId val="560416824"/>
        <c:scaling>
          <c:orientation val="minMax"/>
        </c:scaling>
        <c:delete val="1"/>
        <c:axPos val="b"/>
        <c:majorTickMark val="out"/>
        <c:minorTickMark val="none"/>
        <c:tickLblPos val="nextTo"/>
        <c:crossAx val="62108920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80348.800000000003</c:v>
                </c:pt>
                <c:pt idx="1">
                  <c:v>83038.5</c:v>
                </c:pt>
                <c:pt idx="2">
                  <c:v>71704.800000000003</c:v>
                </c:pt>
                <c:pt idx="3">
                  <c:v>66571.8</c:v>
                </c:pt>
                <c:pt idx="4">
                  <c:v>83799.8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01-4A43-AFEB-9AF97DF02A69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80162.900000000009</c:v>
                </c:pt>
                <c:pt idx="1">
                  <c:v>85600.1</c:v>
                </c:pt>
                <c:pt idx="2">
                  <c:v>75039.199999999997</c:v>
                </c:pt>
                <c:pt idx="3">
                  <c:v>69508.100000000006</c:v>
                </c:pt>
                <c:pt idx="4">
                  <c:v>85544.5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01-4A43-AFEB-9AF97DF02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6949056"/>
        <c:axId val="546948400"/>
      </c:barChart>
      <c:catAx>
        <c:axId val="54694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48400"/>
        <c:crosses val="autoZero"/>
        <c:auto val="1"/>
        <c:lblAlgn val="ctr"/>
        <c:lblOffset val="100"/>
        <c:noMultiLvlLbl val="0"/>
      </c:catAx>
      <c:valAx>
        <c:axId val="546948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490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60248.4</c:v>
                </c:pt>
                <c:pt idx="1">
                  <c:v>76103.60000000002</c:v>
                </c:pt>
                <c:pt idx="2">
                  <c:v>90539.1</c:v>
                </c:pt>
                <c:pt idx="3">
                  <c:v>111168.80000000002</c:v>
                </c:pt>
                <c:pt idx="4">
                  <c:v>137200.70000000001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8F-420C-8D13-F591ECD2305C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722.8</c:v>
                </c:pt>
                <c:pt idx="1">
                  <c:v>771.5</c:v>
                </c:pt>
                <c:pt idx="2">
                  <c:v>769.19999999999993</c:v>
                </c:pt>
                <c:pt idx="3">
                  <c:v>937</c:v>
                </c:pt>
                <c:pt idx="4">
                  <c:v>381.9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8F-420C-8D13-F591ECD230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194096"/>
        <c:axId val="450195736"/>
      </c:barChart>
      <c:catAx>
        <c:axId val="450194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95736"/>
        <c:crosses val="autoZero"/>
        <c:auto val="1"/>
        <c:lblAlgn val="ctr"/>
        <c:lblOffset val="100"/>
        <c:noMultiLvlLbl val="0"/>
      </c:catAx>
      <c:valAx>
        <c:axId val="450195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940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60248.4</c:v>
                </c:pt>
                <c:pt idx="1">
                  <c:v>76103.60000000002</c:v>
                </c:pt>
                <c:pt idx="2">
                  <c:v>90539.1</c:v>
                </c:pt>
                <c:pt idx="3">
                  <c:v>111168.80000000002</c:v>
                </c:pt>
                <c:pt idx="4">
                  <c:v>137200.70000000001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634-4E66-937E-95BBC69BE75C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16950.099999999999</c:v>
                </c:pt>
                <c:pt idx="1">
                  <c:v>16087.5</c:v>
                </c:pt>
                <c:pt idx="2">
                  <c:v>13426.300000000001</c:v>
                </c:pt>
                <c:pt idx="3">
                  <c:v>17845.099999999999</c:v>
                </c:pt>
                <c:pt idx="4">
                  <c:v>18940.099999999999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634-4E66-937E-95BBC69BE7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8825648"/>
        <c:axId val="448824336"/>
      </c:barChart>
      <c:catAx>
        <c:axId val="448825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4336"/>
        <c:crosses val="autoZero"/>
        <c:auto val="1"/>
        <c:lblAlgn val="ctr"/>
        <c:lblOffset val="100"/>
        <c:noMultiLvlLbl val="0"/>
      </c:catAx>
      <c:valAx>
        <c:axId val="448824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5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60248.400000000009</c:v>
                </c:pt>
                <c:pt idx="1">
                  <c:v>76103.600000000006</c:v>
                </c:pt>
                <c:pt idx="2">
                  <c:v>90539.1</c:v>
                </c:pt>
                <c:pt idx="3">
                  <c:v>111168.80000000002</c:v>
                </c:pt>
                <c:pt idx="4">
                  <c:v>137200.70000000001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5E-4D61-8798-3D3538354358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51644.000000000007</c:v>
                </c:pt>
                <c:pt idx="1">
                  <c:v>51527</c:v>
                </c:pt>
                <c:pt idx="2">
                  <c:v>48027.5</c:v>
                </c:pt>
                <c:pt idx="3">
                  <c:v>49549.5</c:v>
                </c:pt>
                <c:pt idx="4">
                  <c:v>46346.1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5E-4D61-8798-3D3538354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0775792"/>
        <c:axId val="623733896"/>
      </c:barChart>
      <c:catAx>
        <c:axId val="55077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3733896"/>
        <c:crosses val="autoZero"/>
        <c:auto val="1"/>
        <c:lblAlgn val="ctr"/>
        <c:lblOffset val="100"/>
        <c:noMultiLvlLbl val="0"/>
      </c:catAx>
      <c:valAx>
        <c:axId val="623733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757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60248.400000000009</c:v>
                </c:pt>
                <c:pt idx="1">
                  <c:v>76103.600000000006</c:v>
                </c:pt>
                <c:pt idx="2">
                  <c:v>90539.1</c:v>
                </c:pt>
                <c:pt idx="3">
                  <c:v>111168.80000000002</c:v>
                </c:pt>
                <c:pt idx="4">
                  <c:v>137200.70000000001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B5-4DD5-BCE3-784774EF101F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8604.4</c:v>
                </c:pt>
                <c:pt idx="1">
                  <c:v>24576.600000000013</c:v>
                </c:pt>
                <c:pt idx="2">
                  <c:v>42511.600000000006</c:v>
                </c:pt>
                <c:pt idx="3">
                  <c:v>61619.300000000017</c:v>
                </c:pt>
                <c:pt idx="4">
                  <c:v>90854.6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B5-4DD5-BCE3-784774EF10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3728648"/>
        <c:axId val="623731272"/>
      </c:barChart>
      <c:catAx>
        <c:axId val="62372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3731272"/>
        <c:crosses val="autoZero"/>
        <c:auto val="1"/>
        <c:lblAlgn val="ctr"/>
        <c:lblOffset val="100"/>
        <c:noMultiLvlLbl val="0"/>
      </c:catAx>
      <c:valAx>
        <c:axId val="623731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3728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57802.2</c:v>
                </c:pt>
                <c:pt idx="1">
                  <c:v>59949.2</c:v>
                </c:pt>
                <c:pt idx="2">
                  <c:v>49940.6</c:v>
                </c:pt>
                <c:pt idx="3">
                  <c:v>47565.5</c:v>
                </c:pt>
                <c:pt idx="4">
                  <c:v>56319.199999999997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A7-4A43-845D-B378A9AFE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964904"/>
        <c:axId val="55996260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80162.900000000009</c:v>
                </c:pt>
                <c:pt idx="1">
                  <c:v>85600.1</c:v>
                </c:pt>
                <c:pt idx="2">
                  <c:v>75039.199999999997</c:v>
                </c:pt>
                <c:pt idx="3">
                  <c:v>69508.100000000006</c:v>
                </c:pt>
                <c:pt idx="4">
                  <c:v>85544.5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AA7-4A43-845D-B378A9AFE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63920"/>
        <c:axId val="559962280"/>
      </c:lineChart>
      <c:catAx>
        <c:axId val="559964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2608"/>
        <c:crosses val="autoZero"/>
        <c:auto val="1"/>
        <c:lblAlgn val="ctr"/>
        <c:lblOffset val="100"/>
        <c:noMultiLvlLbl val="0"/>
      </c:catAx>
      <c:valAx>
        <c:axId val="559962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4904"/>
        <c:crosses val="autoZero"/>
        <c:crossBetween val="between"/>
      </c:valAx>
      <c:valAx>
        <c:axId val="5599622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963920"/>
        <c:crosses val="max"/>
        <c:crossBetween val="between"/>
      </c:valAx>
      <c:catAx>
        <c:axId val="559963920"/>
        <c:scaling>
          <c:orientation val="minMax"/>
        </c:scaling>
        <c:delete val="1"/>
        <c:axPos val="b"/>
        <c:majorTickMark val="out"/>
        <c:minorTickMark val="none"/>
        <c:tickLblPos val="nextTo"/>
        <c:crossAx val="55996228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13242.100000000011</c:v>
                </c:pt>
                <c:pt idx="1">
                  <c:v>16667.600000000009</c:v>
                </c:pt>
                <c:pt idx="2">
                  <c:v>17097.399999999998</c:v>
                </c:pt>
                <c:pt idx="3">
                  <c:v>16062.300000000007</c:v>
                </c:pt>
                <c:pt idx="4">
                  <c:v>25492.000000000004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D3-424D-8FAE-55C665570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961952"/>
        <c:axId val="55996293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15968.900000000012</c:v>
                </c:pt>
                <c:pt idx="1">
                  <c:v>19581.000000000007</c:v>
                </c:pt>
                <c:pt idx="2">
                  <c:v>20010.799999999996</c:v>
                </c:pt>
                <c:pt idx="3">
                  <c:v>17874.800000000007</c:v>
                </c:pt>
                <c:pt idx="4">
                  <c:v>25492.000000000004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D3-424D-8FAE-55C665570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54408"/>
        <c:axId val="559958344"/>
      </c:lineChart>
      <c:catAx>
        <c:axId val="55996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2936"/>
        <c:crosses val="autoZero"/>
        <c:auto val="1"/>
        <c:lblAlgn val="ctr"/>
        <c:lblOffset val="100"/>
        <c:noMultiLvlLbl val="0"/>
      </c:catAx>
      <c:valAx>
        <c:axId val="559962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1952"/>
        <c:crosses val="autoZero"/>
        <c:crossBetween val="between"/>
      </c:valAx>
      <c:valAx>
        <c:axId val="55995834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954408"/>
        <c:crosses val="max"/>
        <c:crossBetween val="between"/>
      </c:valAx>
      <c:catAx>
        <c:axId val="559954408"/>
        <c:scaling>
          <c:orientation val="minMax"/>
        </c:scaling>
        <c:delete val="1"/>
        <c:axPos val="b"/>
        <c:majorTickMark val="out"/>
        <c:minorTickMark val="none"/>
        <c:tickLblPos val="nextTo"/>
        <c:crossAx val="55995834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4F3-4FDA-8AFA-FFAD33003C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0.14000000000000001</c:v>
                </c:pt>
                <c:pt idx="1">
                  <c:v>0.12</c:v>
                </c:pt>
                <c:pt idx="2">
                  <c:v>0.12</c:v>
                </c:pt>
                <c:pt idx="3">
                  <c:v>0.1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4F3-4FDA-8AFA-FFAD33003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1008"/>
        <c:axId val="446752320"/>
      </c:lineChart>
      <c:catAx>
        <c:axId val="446751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2320"/>
        <c:crosses val="autoZero"/>
        <c:auto val="0"/>
        <c:lblAlgn val="ctr"/>
        <c:lblOffset val="100"/>
        <c:noMultiLvlLbl val="0"/>
      </c:catAx>
      <c:valAx>
        <c:axId val="446752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10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FC0-4784-A65C-E745012F594F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C0-4784-A65C-E745012F594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FC0-4784-A65C-E745012F594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9FC0-4784-A65C-E745012F59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-36.03</c:v>
                </c:pt>
                <c:pt idx="1">
                  <c:v>-30.22</c:v>
                </c:pt>
                <c:pt idx="2">
                  <c:v>-21.7</c:v>
                </c:pt>
                <c:pt idx="3">
                  <c:v>-13.7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FC0-4784-A65C-E745012F5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096096"/>
        <c:axId val="621090848"/>
      </c:lineChart>
      <c:catAx>
        <c:axId val="621096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090848"/>
        <c:crosses val="autoZero"/>
        <c:auto val="0"/>
        <c:lblAlgn val="ctr"/>
        <c:lblOffset val="100"/>
        <c:noMultiLvlLbl val="0"/>
      </c:catAx>
      <c:valAx>
        <c:axId val="621090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10960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03C-4789-BF15-8FD7FC2F3AB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03C-4789-BF15-8FD7FC2F3A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35405.599999999999</c:v>
                </c:pt>
                <c:pt idx="1">
                  <c:v>38012.800000000003</c:v>
                </c:pt>
                <c:pt idx="2">
                  <c:v>37070</c:v>
                </c:pt>
                <c:pt idx="3">
                  <c:v>33275.4</c:v>
                </c:pt>
                <c:pt idx="4">
                  <c:v>44060.2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3C-4789-BF15-8FD7FC2F3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561752"/>
        <c:axId val="555560768"/>
      </c:lineChart>
      <c:catAx>
        <c:axId val="555561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60768"/>
        <c:crosses val="autoZero"/>
        <c:auto val="0"/>
        <c:lblAlgn val="ctr"/>
        <c:lblOffset val="100"/>
        <c:noMultiLvlLbl val="0"/>
      </c:catAx>
      <c:valAx>
        <c:axId val="555560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55617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5D4-4223-A4EF-FC0D4E36D32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5D4-4223-A4EF-FC0D4E36D3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22546.6</c:v>
                </c:pt>
                <c:pt idx="1">
                  <c:v>23089.3</c:v>
                </c:pt>
                <c:pt idx="2">
                  <c:v>21764.2</c:v>
                </c:pt>
                <c:pt idx="3">
                  <c:v>19006.3</c:v>
                </c:pt>
                <c:pt idx="4">
                  <c:v>27480.6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5D4-4223-A4EF-FC0D4E36D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089864"/>
        <c:axId val="621092488"/>
      </c:lineChart>
      <c:catAx>
        <c:axId val="62108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092488"/>
        <c:crosses val="autoZero"/>
        <c:auto val="0"/>
        <c:lblAlgn val="ctr"/>
        <c:lblOffset val="100"/>
        <c:noMultiLvlLbl val="0"/>
      </c:catAx>
      <c:valAx>
        <c:axId val="621092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1089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C8E-4AA7-BE86-45674E6ABF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0.27</c:v>
                </c:pt>
                <c:pt idx="1">
                  <c:v>0.26</c:v>
                </c:pt>
                <c:pt idx="2">
                  <c:v>0.22</c:v>
                </c:pt>
                <c:pt idx="3">
                  <c:v>0.16</c:v>
                </c:pt>
                <c:pt idx="4">
                  <c:v>0.19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C8E-4AA7-BE86-45674E6AB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0024"/>
        <c:axId val="446756584"/>
      </c:lineChart>
      <c:catAx>
        <c:axId val="446750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6584"/>
        <c:crosses val="autoZero"/>
        <c:auto val="0"/>
        <c:lblAlgn val="ctr"/>
        <c:lblOffset val="100"/>
        <c:noMultiLvlLbl val="0"/>
      </c:catAx>
      <c:valAx>
        <c:axId val="446756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750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EB6-45EC-8151-2E474E88F37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EB6-45EC-8151-2E474E88F37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13.56</c:v>
                </c:pt>
                <c:pt idx="1">
                  <c:v>14.67</c:v>
                </c:pt>
                <c:pt idx="2">
                  <c:v>14.02</c:v>
                </c:pt>
                <c:pt idx="3">
                  <c:v>10.09</c:v>
                </c:pt>
                <c:pt idx="4">
                  <c:v>34.61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EB6-45EC-8151-2E474E88F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7240"/>
        <c:axId val="446748712"/>
      </c:lineChart>
      <c:catAx>
        <c:axId val="44675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48712"/>
        <c:crosses val="autoZero"/>
        <c:auto val="0"/>
        <c:lblAlgn val="ctr"/>
        <c:lblOffset val="100"/>
        <c:noMultiLvlLbl val="0"/>
      </c:catAx>
      <c:valAx>
        <c:axId val="446748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757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A48ED0-4D2A-FBD5-DCD4-C837570D53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ACA473-5B72-9B0B-8467-FF3CA1E0DE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6CA415-9821-D10F-3706-AE0A648532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5D32B44-673A-4C12-DB04-87B23ADA1E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282750-67D5-31CB-D148-15319B02FB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595306-F43A-5345-6F54-451894B58F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4ACA4C-F886-93AC-5DAE-1BD17F6BA0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77AAB3-62E9-3D03-6CAB-66A4EFC2D9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4983C4-206A-C7BB-93C0-F31DB20058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701499-9DFC-138F-F01E-0EAAD33769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B6BA4A2-9EB0-868D-E4F5-F696435E6A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C176B3-5F89-8E98-6F1E-62F7B907F1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AA9A1D1-AE28-F4E8-4011-C9187F9CA9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5A0B67-9B44-23ED-3321-D28D258E88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4FBE9F-8B14-BD62-4034-2190B9B45E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190D18-E310-743F-2A93-8BBB28B185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9455EB-0C78-51B9-E643-B0B6E11768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0E4BADE-7DAC-149A-0B7D-67F09D5BC9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1D1DE2-5097-2EA5-45D8-E3C33B01E1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F54610-DAF7-1A58-8CF6-896D474B42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CECD2D8E-F393-3DAF-D2AC-67EF6D0B49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031430D0-83E7-260A-27FB-16D48CBB8B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AC8686-D514-B1DB-FFEB-1B952F1301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A350AC11-43FF-673E-9C57-8879D12BD9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A9ED5B28-906C-6199-BE7C-DE956C0045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A99D3CD8-507C-1F3F-931F-8DBF200BE9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BEEEF32F-CE2A-2C52-ECE0-0BCCBA2FCF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59E1F5DD-6B18-9180-AC05-401ACC3E043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4A2AA127-3AD0-DEB5-5A22-C420229E1B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9EB63D67-4B25-0C0C-C503-DFE2380F87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189D7BB8-3232-C853-DCE8-2FCE018160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A236FE45-2514-3304-66A8-54654D18E8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EB5231CC-902A-9341-E1A0-1229657A23E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F52E9D-B6C6-E304-EB4E-2A41E9B47A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4036C6-D6F7-666B-E5AB-1B3A36EB21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1AC091-33D8-861E-D1C7-9B2D39A1A2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D07C79-245F-85D5-3E0E-EB0CED3C5E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DF1BBD-EC1B-35EC-9253-F1A1B4E31A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36A222-3D5B-CD77-F677-50580F7F6A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E9EBD-E11E-4AB5-A94C-65A7CB4B3F29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151</v>
      </c>
      <c r="D6">
        <v>151</v>
      </c>
      <c r="E6">
        <v>151</v>
      </c>
      <c r="F6">
        <v>151</v>
      </c>
      <c r="G6">
        <v>151</v>
      </c>
      <c r="H6" t="s">
        <v>1</v>
      </c>
    </row>
    <row r="7" spans="1:8" x14ac:dyDescent="0.25">
      <c r="B7" t="s">
        <v>6</v>
      </c>
      <c r="C7">
        <v>151</v>
      </c>
      <c r="D7">
        <v>151</v>
      </c>
      <c r="E7">
        <v>151</v>
      </c>
      <c r="F7">
        <v>151</v>
      </c>
      <c r="G7">
        <v>151</v>
      </c>
      <c r="H7" t="s">
        <v>1</v>
      </c>
    </row>
    <row r="8" spans="1:8" x14ac:dyDescent="0.25">
      <c r="A8" t="s">
        <v>90</v>
      </c>
      <c r="B8" t="s">
        <v>7</v>
      </c>
      <c r="C8" s="2">
        <v>42408.4</v>
      </c>
      <c r="D8" s="2">
        <v>46941.1</v>
      </c>
      <c r="E8" s="2">
        <v>49262</v>
      </c>
      <c r="F8" s="2">
        <v>52349.599999999999</v>
      </c>
      <c r="G8" s="2">
        <v>55182.5</v>
      </c>
      <c r="H8" t="s">
        <v>1</v>
      </c>
    </row>
    <row r="9" spans="1:8" x14ac:dyDescent="0.25">
      <c r="B9" t="s">
        <v>8</v>
      </c>
      <c r="C9" s="2">
        <v>42408.4</v>
      </c>
      <c r="D9" s="2">
        <v>46941.1</v>
      </c>
      <c r="E9" s="2">
        <v>49262</v>
      </c>
      <c r="F9" s="2">
        <v>52349.599999999999</v>
      </c>
      <c r="G9" s="2">
        <v>55182.5</v>
      </c>
      <c r="H9" t="s">
        <v>1</v>
      </c>
    </row>
    <row r="10" spans="1:8" x14ac:dyDescent="0.25">
      <c r="B10" t="s">
        <v>9</v>
      </c>
      <c r="C10" s="2">
        <v>42559.4</v>
      </c>
      <c r="D10" s="2">
        <v>47092.1</v>
      </c>
      <c r="E10" s="2">
        <v>49413</v>
      </c>
      <c r="F10" s="2">
        <v>52500.6</v>
      </c>
      <c r="G10" s="2">
        <v>55333.5</v>
      </c>
      <c r="H10" t="s">
        <v>1</v>
      </c>
    </row>
    <row r="11" spans="1:8" x14ac:dyDescent="0.25">
      <c r="A11" t="s">
        <v>10</v>
      </c>
      <c r="B11" t="s">
        <v>10</v>
      </c>
      <c r="C11">
        <v>16.100000000000001</v>
      </c>
      <c r="D11">
        <v>17.600000000000001</v>
      </c>
      <c r="E11">
        <v>19.2</v>
      </c>
      <c r="F11">
        <v>0</v>
      </c>
      <c r="G11">
        <v>0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>
        <v>10</v>
      </c>
      <c r="D13">
        <v>8</v>
      </c>
      <c r="E13">
        <v>5.4</v>
      </c>
      <c r="F13">
        <v>2.8</v>
      </c>
      <c r="G13">
        <v>0</v>
      </c>
      <c r="H13" t="s">
        <v>1</v>
      </c>
    </row>
    <row r="14" spans="1:8" x14ac:dyDescent="0.25">
      <c r="A14" t="s">
        <v>91</v>
      </c>
      <c r="B14" t="s">
        <v>13</v>
      </c>
      <c r="C14">
        <v>602</v>
      </c>
      <c r="D14">
        <v>613.9</v>
      </c>
      <c r="E14">
        <v>657.5</v>
      </c>
      <c r="F14">
        <v>445.4</v>
      </c>
      <c r="G14">
        <v>0</v>
      </c>
      <c r="H14" t="s">
        <v>1</v>
      </c>
    </row>
    <row r="15" spans="1:8" x14ac:dyDescent="0.25">
      <c r="A15" t="s">
        <v>92</v>
      </c>
      <c r="B15" t="s">
        <v>14</v>
      </c>
      <c r="C15" s="2">
        <v>1585.9</v>
      </c>
      <c r="D15" s="2">
        <v>2037.1</v>
      </c>
      <c r="E15" s="2">
        <v>2175.6</v>
      </c>
      <c r="F15" s="2">
        <v>2168.6999999999998</v>
      </c>
      <c r="G15" s="2">
        <v>2214.1</v>
      </c>
      <c r="H15" t="s">
        <v>1</v>
      </c>
    </row>
    <row r="16" spans="1:8" x14ac:dyDescent="0.25">
      <c r="A16" t="s">
        <v>93</v>
      </c>
      <c r="B16" t="s">
        <v>15</v>
      </c>
      <c r="C16">
        <v>26.5</v>
      </c>
      <c r="D16">
        <v>39.5</v>
      </c>
      <c r="E16">
        <v>51.6</v>
      </c>
      <c r="F16">
        <v>44.7</v>
      </c>
      <c r="G16">
        <v>84.4</v>
      </c>
      <c r="H16" t="s">
        <v>1</v>
      </c>
    </row>
    <row r="17" spans="1:8" x14ac:dyDescent="0.25">
      <c r="B17" t="s">
        <v>16</v>
      </c>
      <c r="C17" s="2">
        <v>2224.4</v>
      </c>
      <c r="D17" s="2">
        <v>2698.5</v>
      </c>
      <c r="E17" s="2">
        <v>2890.1</v>
      </c>
      <c r="F17" s="2">
        <v>2661.6</v>
      </c>
      <c r="G17" s="2">
        <v>2298.5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>
        <v>110.8</v>
      </c>
      <c r="D19">
        <v>149.6</v>
      </c>
      <c r="E19">
        <v>106.3</v>
      </c>
      <c r="F19">
        <v>488.8</v>
      </c>
      <c r="G19">
        <v>381.9</v>
      </c>
      <c r="H19" t="s">
        <v>1</v>
      </c>
    </row>
    <row r="20" spans="1:8" x14ac:dyDescent="0.25">
      <c r="A20" t="s">
        <v>92</v>
      </c>
      <c r="B20" t="s">
        <v>19</v>
      </c>
      <c r="C20" s="2">
        <v>10499.3</v>
      </c>
      <c r="D20" s="2">
        <v>9637.7000000000007</v>
      </c>
      <c r="E20" s="2">
        <v>7498.8</v>
      </c>
      <c r="F20" s="2">
        <v>10168.1</v>
      </c>
      <c r="G20" s="2">
        <v>9765.2000000000007</v>
      </c>
      <c r="H20" t="s">
        <v>1</v>
      </c>
    </row>
    <row r="21" spans="1:8" x14ac:dyDescent="0.25">
      <c r="A21" t="s">
        <v>92</v>
      </c>
      <c r="B21" t="s">
        <v>20</v>
      </c>
      <c r="C21" s="2">
        <v>4277.5</v>
      </c>
      <c r="D21" s="2">
        <v>3747.8</v>
      </c>
      <c r="E21" s="2">
        <v>3019.6</v>
      </c>
      <c r="F21" s="2">
        <v>4720.8</v>
      </c>
      <c r="G21" s="2">
        <v>6015.1</v>
      </c>
      <c r="H21" t="s">
        <v>1</v>
      </c>
    </row>
    <row r="22" spans="1:8" x14ac:dyDescent="0.25">
      <c r="A22" t="s">
        <v>93</v>
      </c>
      <c r="B22" t="s">
        <v>21</v>
      </c>
      <c r="C22">
        <v>560.9</v>
      </c>
      <c r="D22">
        <v>625.4</v>
      </c>
      <c r="E22">
        <v>680.7</v>
      </c>
      <c r="F22">
        <v>742.8</v>
      </c>
      <c r="G22">
        <v>861.3</v>
      </c>
      <c r="H22" t="s">
        <v>1</v>
      </c>
    </row>
    <row r="23" spans="1:8" x14ac:dyDescent="0.25">
      <c r="B23" t="s">
        <v>22</v>
      </c>
      <c r="C23" s="2">
        <v>15448.5</v>
      </c>
      <c r="D23" s="2">
        <v>14160.5</v>
      </c>
      <c r="E23" s="2">
        <v>11305.4</v>
      </c>
      <c r="F23" s="2">
        <v>16120.5</v>
      </c>
      <c r="G23" s="2">
        <v>17023.5</v>
      </c>
      <c r="H23" t="s">
        <v>1</v>
      </c>
    </row>
    <row r="24" spans="1:8" x14ac:dyDescent="0.25">
      <c r="B24" t="s">
        <v>23</v>
      </c>
      <c r="C24" s="2">
        <v>60248.4</v>
      </c>
      <c r="D24" s="2">
        <v>63968.7</v>
      </c>
      <c r="E24" s="2">
        <v>63627.7</v>
      </c>
      <c r="F24" s="2">
        <v>71282.7</v>
      </c>
      <c r="G24" s="2">
        <v>74655.5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13077.1</v>
      </c>
      <c r="D27" s="2">
        <v>14986.2</v>
      </c>
      <c r="E27" s="2">
        <v>15408.6</v>
      </c>
      <c r="F27" s="2">
        <v>14764.5</v>
      </c>
      <c r="G27" s="2">
        <v>16683.7</v>
      </c>
      <c r="H27" t="s">
        <v>1</v>
      </c>
    </row>
    <row r="28" spans="1:8" x14ac:dyDescent="0.25">
      <c r="A28" t="s">
        <v>29</v>
      </c>
      <c r="B28" t="s">
        <v>27</v>
      </c>
      <c r="C28">
        <v>311.7</v>
      </c>
      <c r="D28">
        <v>451.1</v>
      </c>
      <c r="E28">
        <v>335.8</v>
      </c>
      <c r="F28">
        <v>224.2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2132.1</v>
      </c>
      <c r="D29" s="2">
        <v>1606.9</v>
      </c>
      <c r="E29" s="2">
        <v>1344.3</v>
      </c>
      <c r="F29" s="2">
        <v>1199.3</v>
      </c>
      <c r="G29" s="2">
        <v>0</v>
      </c>
      <c r="H29" t="s">
        <v>1</v>
      </c>
    </row>
    <row r="30" spans="1:8" x14ac:dyDescent="0.25">
      <c r="B30" t="s">
        <v>29</v>
      </c>
      <c r="C30" s="2">
        <v>15520.9</v>
      </c>
      <c r="D30" s="2">
        <v>17044.2</v>
      </c>
      <c r="E30" s="2">
        <v>17159.599999999999</v>
      </c>
      <c r="F30" s="2">
        <v>16485.5</v>
      </c>
      <c r="G30" s="2">
        <v>16683.7</v>
      </c>
      <c r="H30" t="s">
        <v>1</v>
      </c>
    </row>
    <row r="31" spans="1:8" x14ac:dyDescent="0.25">
      <c r="A31" t="s">
        <v>94</v>
      </c>
      <c r="B31" t="s">
        <v>30</v>
      </c>
      <c r="C31" s="2">
        <v>34905.800000000003</v>
      </c>
      <c r="D31" s="2">
        <v>32458.1</v>
      </c>
      <c r="E31" s="2">
        <v>36269.199999999997</v>
      </c>
      <c r="F31" s="2">
        <v>34529.1</v>
      </c>
      <c r="G31" s="2">
        <v>37934.6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0</v>
      </c>
      <c r="E32">
        <v>0</v>
      </c>
      <c r="F32">
        <v>0</v>
      </c>
      <c r="G32">
        <v>141.1</v>
      </c>
      <c r="H32" t="s">
        <v>1</v>
      </c>
    </row>
    <row r="33" spans="1:8" x14ac:dyDescent="0.25">
      <c r="A33" t="s">
        <v>95</v>
      </c>
      <c r="B33" t="s">
        <v>32</v>
      </c>
      <c r="C33">
        <v>0.2</v>
      </c>
      <c r="D33">
        <v>0.2</v>
      </c>
      <c r="E33">
        <v>0.2</v>
      </c>
      <c r="F33">
        <v>0.2</v>
      </c>
      <c r="G33">
        <v>0.2</v>
      </c>
      <c r="H33" t="s">
        <v>1</v>
      </c>
    </row>
    <row r="34" spans="1:8" x14ac:dyDescent="0.25">
      <c r="A34" t="s">
        <v>95</v>
      </c>
      <c r="B34" t="s">
        <v>33</v>
      </c>
      <c r="C34" s="2">
        <v>1891.5</v>
      </c>
      <c r="D34" s="2">
        <v>2093.5</v>
      </c>
      <c r="E34" s="2">
        <v>1758.1</v>
      </c>
      <c r="F34" s="2">
        <v>1723.6</v>
      </c>
      <c r="G34" s="2">
        <v>3102.5</v>
      </c>
      <c r="H34" t="s">
        <v>1</v>
      </c>
    </row>
    <row r="35" spans="1:8" x14ac:dyDescent="0.25">
      <c r="B35" t="s">
        <v>34</v>
      </c>
      <c r="C35" s="2">
        <v>52318.400000000001</v>
      </c>
      <c r="D35" s="2">
        <v>51596</v>
      </c>
      <c r="E35" s="2">
        <v>55187.1</v>
      </c>
      <c r="F35" s="2">
        <v>52738.400000000001</v>
      </c>
      <c r="G35" s="2">
        <v>57862.1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1217.3</v>
      </c>
      <c r="D37" s="2">
        <v>5045.5</v>
      </c>
      <c r="E37" s="2">
        <v>1218.8</v>
      </c>
      <c r="F37" s="2">
        <v>8415.7000000000007</v>
      </c>
      <c r="G37" s="2">
        <v>4100.1000000000004</v>
      </c>
      <c r="H37" t="s">
        <v>1</v>
      </c>
    </row>
    <row r="38" spans="1:8" x14ac:dyDescent="0.25">
      <c r="A38" t="s">
        <v>96</v>
      </c>
      <c r="B38" t="s">
        <v>37</v>
      </c>
      <c r="C38" s="2">
        <v>3160.2</v>
      </c>
      <c r="D38" s="2">
        <v>3322.6</v>
      </c>
      <c r="E38" s="2">
        <v>3213.9</v>
      </c>
      <c r="F38" s="2">
        <v>3049</v>
      </c>
      <c r="G38" s="2">
        <v>3532.3</v>
      </c>
      <c r="H38" t="s">
        <v>1</v>
      </c>
    </row>
    <row r="39" spans="1:8" x14ac:dyDescent="0.25">
      <c r="A39" t="s">
        <v>96</v>
      </c>
      <c r="B39" t="s">
        <v>38</v>
      </c>
      <c r="C39" s="2">
        <v>1465.4</v>
      </c>
      <c r="D39" s="2">
        <v>2312.8000000000002</v>
      </c>
      <c r="E39" s="2">
        <v>1977.7</v>
      </c>
      <c r="F39" s="2">
        <v>1279.9000000000001</v>
      </c>
      <c r="G39" s="2">
        <v>2034.5</v>
      </c>
      <c r="H39" t="s">
        <v>1</v>
      </c>
    </row>
    <row r="40" spans="1:8" x14ac:dyDescent="0.25">
      <c r="A40" t="s">
        <v>96</v>
      </c>
      <c r="B40" t="s">
        <v>39</v>
      </c>
      <c r="C40" s="2">
        <v>74</v>
      </c>
      <c r="D40" s="2">
        <v>187.8</v>
      </c>
      <c r="E40">
        <v>29</v>
      </c>
      <c r="F40">
        <v>3047.1</v>
      </c>
      <c r="G40">
        <v>3042.2</v>
      </c>
      <c r="H40" t="s">
        <v>1</v>
      </c>
    </row>
    <row r="41" spans="1:8" x14ac:dyDescent="0.25">
      <c r="A41" t="s">
        <v>95</v>
      </c>
      <c r="B41" t="s">
        <v>40</v>
      </c>
      <c r="C41">
        <v>3</v>
      </c>
      <c r="D41">
        <v>16.100000000000001</v>
      </c>
      <c r="E41">
        <v>17</v>
      </c>
      <c r="F41">
        <v>23</v>
      </c>
      <c r="G41">
        <v>30.5</v>
      </c>
      <c r="H41" t="s">
        <v>1</v>
      </c>
    </row>
    <row r="42" spans="1:8" x14ac:dyDescent="0.25">
      <c r="A42" t="s">
        <v>95</v>
      </c>
      <c r="B42" t="s">
        <v>41</v>
      </c>
      <c r="C42" s="2">
        <v>2010.1</v>
      </c>
      <c r="D42" s="2">
        <v>1487.9</v>
      </c>
      <c r="E42" s="2">
        <v>1984.2</v>
      </c>
      <c r="F42" s="2">
        <v>2729.6</v>
      </c>
      <c r="G42" s="2">
        <v>4053.8</v>
      </c>
      <c r="H42" t="s">
        <v>1</v>
      </c>
    </row>
    <row r="43" spans="1:8" x14ac:dyDescent="0.25">
      <c r="B43" t="s">
        <v>42</v>
      </c>
      <c r="C43" s="2">
        <v>7930</v>
      </c>
      <c r="D43" s="2">
        <v>12372.7</v>
      </c>
      <c r="E43" s="2">
        <v>8440.6</v>
      </c>
      <c r="F43" s="2">
        <v>18544.3</v>
      </c>
      <c r="G43" s="2">
        <v>16793.400000000001</v>
      </c>
      <c r="H43" t="s">
        <v>1</v>
      </c>
    </row>
    <row r="44" spans="1:8" x14ac:dyDescent="0.25">
      <c r="B44" t="s">
        <v>43</v>
      </c>
      <c r="C44" s="2">
        <v>60248.4</v>
      </c>
      <c r="D44" s="2">
        <v>63968.7</v>
      </c>
      <c r="E44" s="2">
        <v>63627.7</v>
      </c>
      <c r="F44" s="2">
        <v>71282.7</v>
      </c>
      <c r="G44" s="2">
        <v>74655.5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10455.200000000001</v>
      </c>
      <c r="D47" s="2">
        <v>11948.6</v>
      </c>
      <c r="E47" s="2">
        <v>11232.8</v>
      </c>
      <c r="F47" s="2">
        <v>15704.3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0</v>
      </c>
      <c r="D49">
        <v>0</v>
      </c>
      <c r="E49">
        <v>0</v>
      </c>
      <c r="F49">
        <v>0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1371</v>
      </c>
      <c r="D51" s="2">
        <v>1077.3</v>
      </c>
      <c r="E51">
        <v>559.79999999999995</v>
      </c>
      <c r="F51" s="2">
        <v>1132.3</v>
      </c>
      <c r="G51" s="2">
        <v>0</v>
      </c>
      <c r="H51" t="s">
        <v>1</v>
      </c>
    </row>
    <row r="52" spans="2:8" x14ac:dyDescent="0.25">
      <c r="B52" t="s">
        <v>51</v>
      </c>
      <c r="C52">
        <v>33750.1</v>
      </c>
      <c r="D52" s="2">
        <v>31457.200000000001</v>
      </c>
      <c r="E52" s="2">
        <v>35650</v>
      </c>
      <c r="F52" s="2">
        <v>33426.6</v>
      </c>
      <c r="G52" s="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1217.3</v>
      </c>
      <c r="D55" s="2">
        <v>5045.5</v>
      </c>
      <c r="E55" s="2">
        <v>1218.8</v>
      </c>
      <c r="F55" s="2">
        <v>8415.7000000000007</v>
      </c>
      <c r="G55" s="2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EF8F6-D623-4659-B68D-A494966B784F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2265.6</v>
      </c>
      <c r="D6" s="16">
        <f>'Income Statement'!D28</f>
        <v>2416.6</v>
      </c>
      <c r="E6" s="16">
        <f>'Income Statement'!E28</f>
        <v>2416.6</v>
      </c>
      <c r="F6" s="16">
        <f>'Income Statement'!F28</f>
        <v>1812.5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61.183524904214607</v>
      </c>
      <c r="D7" s="16">
        <f>'Income Statement'!D35</f>
        <v>77.395256916996075</v>
      </c>
      <c r="E7" s="16">
        <f>'Income Statement'!E35</f>
        <v>106.44042553191487</v>
      </c>
      <c r="F7" s="16">
        <f>'Income Statement'!F35</f>
        <v>123.27448275862074</v>
      </c>
      <c r="G7" s="16">
        <f>'Income Statement'!G35</f>
        <v>199.15625000000003</v>
      </c>
    </row>
    <row r="8" spans="2:7" ht="18.75" x14ac:dyDescent="0.25">
      <c r="B8" s="15" t="s">
        <v>148</v>
      </c>
      <c r="C8" s="16">
        <f>ROUND(C6/C7, 2)</f>
        <v>37.03</v>
      </c>
      <c r="D8" s="16">
        <f t="shared" ref="D8:G8" si="0">ROUND(D6/D7, 2)</f>
        <v>31.22</v>
      </c>
      <c r="E8" s="16">
        <f t="shared" si="0"/>
        <v>22.7</v>
      </c>
      <c r="F8" s="16">
        <f t="shared" si="0"/>
        <v>14.7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15968.900000000012</v>
      </c>
      <c r="D9" s="16">
        <f>'Income Statement'!D27</f>
        <v>19581.000000000007</v>
      </c>
      <c r="E9" s="16">
        <f>'Income Statement'!E27</f>
        <v>20010.799999999996</v>
      </c>
      <c r="F9" s="16">
        <f>'Income Statement'!F27</f>
        <v>17874.800000000007</v>
      </c>
      <c r="G9" s="16">
        <f>'Income Statement'!G27</f>
        <v>25492.000000000004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61.183524904214607</v>
      </c>
      <c r="D10" s="16">
        <f>'Income Statement'!D35</f>
        <v>77.395256916996075</v>
      </c>
      <c r="E10" s="16">
        <f>'Income Statement'!E35</f>
        <v>106.44042553191487</v>
      </c>
      <c r="F10" s="16">
        <f>'Income Statement'!F35</f>
        <v>123.27448275862074</v>
      </c>
      <c r="G10" s="16">
        <f>'Income Statement'!G35</f>
        <v>199.15625000000003</v>
      </c>
    </row>
    <row r="11" spans="2:7" ht="18.75" x14ac:dyDescent="0.25">
      <c r="B11" s="15" t="s">
        <v>146</v>
      </c>
      <c r="C11" s="16">
        <f>C9/C10</f>
        <v>261</v>
      </c>
      <c r="D11" s="16">
        <f t="shared" ref="D11:G11" si="1">D9/D10</f>
        <v>253</v>
      </c>
      <c r="E11" s="16">
        <f t="shared" si="1"/>
        <v>188</v>
      </c>
      <c r="F11" s="16">
        <f t="shared" si="1"/>
        <v>145</v>
      </c>
      <c r="G11" s="16">
        <f t="shared" si="1"/>
        <v>128</v>
      </c>
    </row>
    <row r="12" spans="2:7" ht="18.75" x14ac:dyDescent="0.25">
      <c r="B12" s="17" t="s">
        <v>152</v>
      </c>
      <c r="C12" s="17">
        <f>ROUND(C8/C11, 2)</f>
        <v>0.14000000000000001</v>
      </c>
      <c r="D12" s="17">
        <f t="shared" ref="D12:G12" si="2">ROUND(D8/D11, 2)</f>
        <v>0.12</v>
      </c>
      <c r="E12" s="17">
        <f t="shared" si="2"/>
        <v>0.12</v>
      </c>
      <c r="F12" s="17">
        <f t="shared" si="2"/>
        <v>0.1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40DD34-A62B-43CB-B57F-D3D8A0B5F786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5.1406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2265.6</v>
      </c>
      <c r="D6" s="16">
        <f>'Income Statement'!D28</f>
        <v>2416.6</v>
      </c>
      <c r="E6" s="16">
        <f>'Income Statement'!E28</f>
        <v>2416.6</v>
      </c>
      <c r="F6" s="16">
        <f>'Income Statement'!F28</f>
        <v>1812.5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61.183524904214607</v>
      </c>
      <c r="D7" s="16">
        <f>'Income Statement'!D35</f>
        <v>77.395256916996075</v>
      </c>
      <c r="E7" s="16">
        <f>'Income Statement'!E35</f>
        <v>106.44042553191487</v>
      </c>
      <c r="F7" s="16">
        <f>'Income Statement'!F35</f>
        <v>123.27448275862074</v>
      </c>
      <c r="G7" s="16">
        <f>'Income Statement'!G35</f>
        <v>199.15625000000003</v>
      </c>
    </row>
    <row r="8" spans="2:7" ht="18.75" x14ac:dyDescent="0.25">
      <c r="B8" s="15" t="s">
        <v>154</v>
      </c>
      <c r="C8" s="16">
        <f>ROUND(C6/C7, 2)</f>
        <v>37.03</v>
      </c>
      <c r="D8" s="16">
        <f t="shared" ref="D8:G8" si="0">ROUND(D6/D7, 2)</f>
        <v>31.22</v>
      </c>
      <c r="E8" s="16">
        <f t="shared" si="0"/>
        <v>22.7</v>
      </c>
      <c r="F8" s="16">
        <f t="shared" si="0"/>
        <v>14.7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-36.03</v>
      </c>
      <c r="D9" s="27">
        <f t="shared" ref="D9:G9" si="1">1-D8</f>
        <v>-30.22</v>
      </c>
      <c r="E9" s="27">
        <f t="shared" si="1"/>
        <v>-21.7</v>
      </c>
      <c r="F9" s="27">
        <f t="shared" si="1"/>
        <v>-13.7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94E65-B68C-4318-A68C-4D3C00325F9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44943.199999999997</v>
      </c>
      <c r="D7" s="16">
        <f>'Income Statement'!D11</f>
        <v>45025.7</v>
      </c>
      <c r="E7" s="16">
        <f>'Income Statement'!E11</f>
        <v>34634.800000000003</v>
      </c>
      <c r="F7" s="16">
        <f>'Income Statement'!F11</f>
        <v>33296.400000000001</v>
      </c>
      <c r="G7" s="16">
        <f>'Income Statement'!G11</f>
        <v>39739.599999999999</v>
      </c>
    </row>
    <row r="8" spans="2:7" ht="18.75" x14ac:dyDescent="0.25">
      <c r="B8" s="17" t="s">
        <v>157</v>
      </c>
      <c r="C8" s="28">
        <f>ROUND(C6- C7, 2)</f>
        <v>35405.599999999999</v>
      </c>
      <c r="D8" s="28">
        <f t="shared" ref="D8:G8" si="0">ROUND(D6- D7, 2)</f>
        <v>38012.800000000003</v>
      </c>
      <c r="E8" s="28">
        <f t="shared" si="0"/>
        <v>37070</v>
      </c>
      <c r="F8" s="28">
        <f t="shared" si="0"/>
        <v>33275.4</v>
      </c>
      <c r="G8" s="28">
        <f t="shared" si="0"/>
        <v>44060.2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EF72C-F80D-4353-90D0-9881AB754D3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'Income Statement'!B15</f>
        <v>Total Expenditure</v>
      </c>
      <c r="C7" s="16">
        <f>'Income Statement'!C15</f>
        <v>57802.2</v>
      </c>
      <c r="D7" s="16">
        <f>'Income Statement'!D15</f>
        <v>59949.2</v>
      </c>
      <c r="E7" s="16">
        <f>'Income Statement'!E15</f>
        <v>49940.6</v>
      </c>
      <c r="F7" s="16">
        <f>'Income Statement'!F15</f>
        <v>47565.5</v>
      </c>
      <c r="G7" s="16">
        <f>'Income Statement'!G15</f>
        <v>56319.199999999997</v>
      </c>
    </row>
    <row r="8" spans="2:7" ht="18.75" x14ac:dyDescent="0.25">
      <c r="B8" s="17" t="s">
        <v>159</v>
      </c>
      <c r="C8" s="28">
        <f>ROUND(C6- C7, 2)</f>
        <v>22546.6</v>
      </c>
      <c r="D8" s="28">
        <f t="shared" ref="D8:G8" si="0">ROUND(D6- D7, 2)</f>
        <v>23089.3</v>
      </c>
      <c r="E8" s="28">
        <f t="shared" si="0"/>
        <v>21764.2</v>
      </c>
      <c r="F8" s="28">
        <f t="shared" si="0"/>
        <v>19006.3</v>
      </c>
      <c r="G8" s="28">
        <f t="shared" si="0"/>
        <v>27480.6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08DF6-3CBE-40EC-9A72-ABE7D4977CF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5" width="13.140625" bestFit="1" customWidth="1"/>
    <col min="6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15968.900000000012</v>
      </c>
      <c r="D6" s="16">
        <f>'Income Statement'!D27</f>
        <v>19581.000000000007</v>
      </c>
      <c r="E6" s="16">
        <f>'Income Statement'!E27</f>
        <v>20010.799999999996</v>
      </c>
      <c r="F6" s="16">
        <f>'Income Statement'!F27</f>
        <v>17874.800000000007</v>
      </c>
      <c r="G6" s="16">
        <f>'Income Statement'!G27</f>
        <v>25492.000000000004</v>
      </c>
    </row>
    <row r="7" spans="2:7" ht="18.75" x14ac:dyDescent="0.25">
      <c r="B7" s="15" t="str">
        <f>'Balance Sheet'!B40</f>
        <v>Total Assets</v>
      </c>
      <c r="C7" s="16">
        <f>'Balance Sheet'!C40</f>
        <v>60248.400000000009</v>
      </c>
      <c r="D7" s="16">
        <f>'Balance Sheet'!D40</f>
        <v>76103.600000000006</v>
      </c>
      <c r="E7" s="16">
        <f>'Balance Sheet'!E40</f>
        <v>90539.1</v>
      </c>
      <c r="F7" s="16">
        <f>'Balance Sheet'!F40</f>
        <v>111168.80000000002</v>
      </c>
      <c r="G7" s="16">
        <f>'Balance Sheet'!G40</f>
        <v>137200.70000000001</v>
      </c>
    </row>
    <row r="8" spans="2:7" ht="18.75" x14ac:dyDescent="0.25">
      <c r="B8" s="17" t="s">
        <v>161</v>
      </c>
      <c r="C8" s="27">
        <f>ROUND(C6/ C7, 2)</f>
        <v>0.27</v>
      </c>
      <c r="D8" s="27">
        <f t="shared" ref="D8:G8" si="0">ROUND(D6/ D7, 2)</f>
        <v>0.26</v>
      </c>
      <c r="E8" s="27">
        <f t="shared" si="0"/>
        <v>0.22</v>
      </c>
      <c r="F8" s="27">
        <f t="shared" si="0"/>
        <v>0.16</v>
      </c>
      <c r="G8" s="27">
        <f t="shared" si="0"/>
        <v>0.19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4BD17-2734-4DFF-A904-3736030994DD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6" width="14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19600.900000000012</v>
      </c>
      <c r="D6" s="16">
        <f>'Income Statement'!D19</f>
        <v>22630.100000000009</v>
      </c>
      <c r="E6" s="16">
        <f>'Income Statement'!E19</f>
        <v>21570.199999999997</v>
      </c>
      <c r="F6" s="16">
        <f>'Income Statement'!F19</f>
        <v>18908.500000000007</v>
      </c>
      <c r="G6" s="16">
        <f>'Income Statement'!G19</f>
        <v>26436.300000000003</v>
      </c>
    </row>
    <row r="7" spans="2:7" ht="18.75" x14ac:dyDescent="0.25">
      <c r="B7" s="15" t="str">
        <f>'Balance Sheet'!B13</f>
        <v>Total Debt</v>
      </c>
      <c r="C7" s="16">
        <f>'Balance Sheet'!C13</f>
        <v>722.8</v>
      </c>
      <c r="D7" s="16">
        <f>'Balance Sheet'!D13</f>
        <v>771.5</v>
      </c>
      <c r="E7" s="16">
        <f>'Balance Sheet'!E13</f>
        <v>769.19999999999993</v>
      </c>
      <c r="F7" s="16">
        <f>'Balance Sheet'!F13</f>
        <v>937</v>
      </c>
      <c r="G7" s="16">
        <f>'Balance Sheet'!G13</f>
        <v>381.9</v>
      </c>
    </row>
    <row r="8" spans="2:7" ht="18.75" x14ac:dyDescent="0.25">
      <c r="B8" s="15" t="str">
        <f>'Balance Sheet'!B9</f>
        <v>Net Worth</v>
      </c>
      <c r="C8" s="16">
        <f>'Balance Sheet'!C9</f>
        <v>42559.4</v>
      </c>
      <c r="D8" s="16">
        <f>'Balance Sheet'!D9</f>
        <v>59227.000000000015</v>
      </c>
      <c r="E8" s="16">
        <f>'Balance Sheet'!E9</f>
        <v>76324.400000000009</v>
      </c>
      <c r="F8" s="16">
        <f>'Balance Sheet'!F9</f>
        <v>92386.700000000012</v>
      </c>
      <c r="G8" s="16">
        <f>'Balance Sheet'!G9</f>
        <v>117878.70000000001</v>
      </c>
    </row>
    <row r="9" spans="2:7" ht="18.75" x14ac:dyDescent="0.25">
      <c r="B9" s="17" t="s">
        <v>163</v>
      </c>
      <c r="C9" s="27">
        <f>ROUND(C6/ (C7+ C7), 2)</f>
        <v>13.56</v>
      </c>
      <c r="D9" s="27">
        <f t="shared" ref="D9:G9" si="0">ROUND(D6/ (D7+ D7), 2)</f>
        <v>14.67</v>
      </c>
      <c r="E9" s="27">
        <f t="shared" si="0"/>
        <v>14.02</v>
      </c>
      <c r="F9" s="27">
        <f t="shared" si="0"/>
        <v>10.09</v>
      </c>
      <c r="G9" s="27">
        <f t="shared" si="0"/>
        <v>34.61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68417-CE12-442A-BA9A-28E01B864E1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15968.900000000012</v>
      </c>
      <c r="D6" s="16">
        <f>'Income Statement'!D27</f>
        <v>19581.000000000007</v>
      </c>
      <c r="E6" s="16">
        <f>'Income Statement'!E27</f>
        <v>20010.799999999996</v>
      </c>
      <c r="F6" s="16">
        <f>'Income Statement'!F27</f>
        <v>17874.800000000007</v>
      </c>
      <c r="G6" s="16">
        <f>'Income Statement'!G27</f>
        <v>25492.000000000004</v>
      </c>
    </row>
    <row r="7" spans="2:7" ht="18.75" x14ac:dyDescent="0.25">
      <c r="B7" s="15" t="str">
        <f>'Balance Sheet'!B9</f>
        <v>Net Worth</v>
      </c>
      <c r="C7" s="16">
        <f>'Balance Sheet'!C9</f>
        <v>42559.4</v>
      </c>
      <c r="D7" s="16">
        <f>'Balance Sheet'!D9</f>
        <v>59227.000000000015</v>
      </c>
      <c r="E7" s="16">
        <f>'Balance Sheet'!E9</f>
        <v>76324.400000000009</v>
      </c>
      <c r="F7" s="16">
        <f>'Balance Sheet'!F9</f>
        <v>92386.700000000012</v>
      </c>
      <c r="G7" s="16">
        <f>'Balance Sheet'!G9</f>
        <v>117878.70000000001</v>
      </c>
    </row>
    <row r="8" spans="2:7" ht="18.75" x14ac:dyDescent="0.25">
      <c r="B8" s="17" t="s">
        <v>165</v>
      </c>
      <c r="C8" s="27">
        <f>ROUND(C6/ (C7+ C7), 2)</f>
        <v>0.19</v>
      </c>
      <c r="D8" s="27">
        <f t="shared" ref="D8:G8" si="0">ROUND(D6/ (D7+ D7), 2)</f>
        <v>0.17</v>
      </c>
      <c r="E8" s="27">
        <f t="shared" si="0"/>
        <v>0.13</v>
      </c>
      <c r="F8" s="27">
        <f t="shared" si="0"/>
        <v>0.1</v>
      </c>
      <c r="G8" s="27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7012A-CC7D-4A9A-8272-85F349ED2B5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722.8</v>
      </c>
      <c r="D6" s="16">
        <f>'Balance Sheet'!D13</f>
        <v>771.5</v>
      </c>
      <c r="E6" s="16">
        <f>'Balance Sheet'!E13</f>
        <v>769.19999999999993</v>
      </c>
      <c r="F6" s="16">
        <f>'Balance Sheet'!F13</f>
        <v>937</v>
      </c>
      <c r="G6" s="16">
        <f>'Balance Sheet'!G13</f>
        <v>381.9</v>
      </c>
    </row>
    <row r="7" spans="2:7" ht="18.75" x14ac:dyDescent="0.25">
      <c r="B7" s="15" t="str">
        <f>'Balance Sheet'!B9</f>
        <v>Net Worth</v>
      </c>
      <c r="C7" s="16">
        <f>'Balance Sheet'!C9</f>
        <v>42559.4</v>
      </c>
      <c r="D7" s="16">
        <f>'Balance Sheet'!D9</f>
        <v>59227.000000000015</v>
      </c>
      <c r="E7" s="16">
        <f>'Balance Sheet'!E9</f>
        <v>76324.400000000009</v>
      </c>
      <c r="F7" s="16">
        <f>'Balance Sheet'!F9</f>
        <v>92386.700000000012</v>
      </c>
      <c r="G7" s="16">
        <f>'Balance Sheet'!G9</f>
        <v>117878.70000000001</v>
      </c>
    </row>
    <row r="8" spans="2:7" ht="18.75" x14ac:dyDescent="0.25">
      <c r="B8" s="17" t="s">
        <v>167</v>
      </c>
      <c r="C8" s="17">
        <f>ROUND(C6/ C7, 2)</f>
        <v>0.02</v>
      </c>
      <c r="D8" s="17">
        <f t="shared" ref="D8:G8" si="0">ROUND(D6/ D7, 2)</f>
        <v>0.01</v>
      </c>
      <c r="E8" s="17">
        <f t="shared" si="0"/>
        <v>0.01</v>
      </c>
      <c r="F8" s="17">
        <f t="shared" si="0"/>
        <v>0.01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A196A-C995-447A-A512-3EF3A29FA25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8604.4</v>
      </c>
      <c r="D6" s="16">
        <f>'Balance Sheet'!D39</f>
        <v>24576.600000000013</v>
      </c>
      <c r="E6" s="16">
        <f>'Balance Sheet'!E39</f>
        <v>42511.600000000006</v>
      </c>
      <c r="F6" s="16">
        <f>'Balance Sheet'!F39</f>
        <v>61619.300000000017</v>
      </c>
      <c r="G6" s="16">
        <f>'Balance Sheet'!G39</f>
        <v>90854.6</v>
      </c>
    </row>
    <row r="7" spans="2:7" ht="18.75" x14ac:dyDescent="0.25">
      <c r="B7" s="15" t="str">
        <f>'Balance Sheet'!B19</f>
        <v>Total Current Liabilities</v>
      </c>
      <c r="C7" s="16">
        <f>'Balance Sheet'!C19</f>
        <v>16950.099999999999</v>
      </c>
      <c r="D7" s="16">
        <f>'Balance Sheet'!D19</f>
        <v>16087.5</v>
      </c>
      <c r="E7" s="16">
        <f>'Balance Sheet'!E19</f>
        <v>13426.300000000001</v>
      </c>
      <c r="F7" s="16">
        <f>'Balance Sheet'!F19</f>
        <v>17845.099999999999</v>
      </c>
      <c r="G7" s="16">
        <f>'Balance Sheet'!G19</f>
        <v>18940.099999999999</v>
      </c>
    </row>
    <row r="8" spans="2:7" ht="18.75" x14ac:dyDescent="0.25">
      <c r="B8" s="17" t="s">
        <v>169</v>
      </c>
      <c r="C8" s="17">
        <f>ROUND(C6/ C7, 2)</f>
        <v>0.51</v>
      </c>
      <c r="D8" s="17">
        <f t="shared" ref="D8:G8" si="0">ROUND(D6/ D7, 2)</f>
        <v>1.53</v>
      </c>
      <c r="E8" s="17">
        <f t="shared" si="0"/>
        <v>3.17</v>
      </c>
      <c r="F8" s="17">
        <f t="shared" si="0"/>
        <v>3.45</v>
      </c>
      <c r="G8" s="17">
        <f t="shared" si="0"/>
        <v>4.8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E5C0B-B6D8-4FC4-BB17-9E9754A59A0A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8604.4</v>
      </c>
      <c r="D6" s="16">
        <f>'Balance Sheet'!D39</f>
        <v>24576.600000000013</v>
      </c>
      <c r="E6" s="16">
        <f>'Balance Sheet'!E39</f>
        <v>42511.600000000006</v>
      </c>
      <c r="F6" s="16">
        <f>'Balance Sheet'!F39</f>
        <v>61619.300000000017</v>
      </c>
      <c r="G6" s="16">
        <f>'Balance Sheet'!G39</f>
        <v>90854.6</v>
      </c>
    </row>
    <row r="7" spans="2:7" ht="18.75" x14ac:dyDescent="0.25">
      <c r="B7" s="15" t="str">
        <f>'Balance Sheet'!B36</f>
        <v>Inventories</v>
      </c>
      <c r="C7" s="16">
        <f>'Balance Sheet'!C36</f>
        <v>3160.2</v>
      </c>
      <c r="D7" s="16">
        <f>'Balance Sheet'!D36</f>
        <v>3322.6</v>
      </c>
      <c r="E7" s="16">
        <f>'Balance Sheet'!E36</f>
        <v>3213.9</v>
      </c>
      <c r="F7" s="16">
        <f>'Balance Sheet'!F36</f>
        <v>3049</v>
      </c>
      <c r="G7" s="16">
        <f>'Balance Sheet'!G36</f>
        <v>3532.3</v>
      </c>
    </row>
    <row r="8" spans="2:7" ht="18.75" x14ac:dyDescent="0.25">
      <c r="B8" s="15" t="str">
        <f>'Balance Sheet'!B19</f>
        <v>Total Current Liabilities</v>
      </c>
      <c r="C8" s="16">
        <f>'Balance Sheet'!C19</f>
        <v>16950.099999999999</v>
      </c>
      <c r="D8" s="16">
        <f>'Balance Sheet'!D19</f>
        <v>16087.5</v>
      </c>
      <c r="E8" s="16">
        <f>'Balance Sheet'!E19</f>
        <v>13426.300000000001</v>
      </c>
      <c r="F8" s="16">
        <f>'Balance Sheet'!F19</f>
        <v>17845.099999999999</v>
      </c>
      <c r="G8" s="16">
        <f>'Balance Sheet'!G19</f>
        <v>18940.099999999999</v>
      </c>
    </row>
    <row r="9" spans="2:7" ht="18.75" x14ac:dyDescent="0.25">
      <c r="B9" s="17" t="s">
        <v>171</v>
      </c>
      <c r="C9" s="17">
        <f>ROUND((C6-C7)/ C8, 2)</f>
        <v>0.32</v>
      </c>
      <c r="D9" s="17">
        <f t="shared" ref="D9:G9" si="0">ROUND((D6-D7)/ D8, 2)</f>
        <v>1.32</v>
      </c>
      <c r="E9" s="17">
        <f t="shared" si="0"/>
        <v>2.93</v>
      </c>
      <c r="F9" s="17">
        <f t="shared" si="0"/>
        <v>3.28</v>
      </c>
      <c r="G9" s="17">
        <f t="shared" si="0"/>
        <v>4.6100000000000003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F9C7E6-870A-486B-BEB9-5B1ABD076B89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80348.800000000003</v>
      </c>
      <c r="D5" s="2">
        <v>83038.5</v>
      </c>
      <c r="E5" s="2">
        <v>71704.800000000003</v>
      </c>
      <c r="F5" s="2">
        <v>66571.8</v>
      </c>
      <c r="G5" s="2">
        <v>83799.8</v>
      </c>
      <c r="H5" t="s">
        <v>1</v>
      </c>
    </row>
    <row r="6" spans="1:8" x14ac:dyDescent="0.25">
      <c r="A6" t="s">
        <v>98</v>
      </c>
      <c r="B6" t="s">
        <v>98</v>
      </c>
      <c r="C6">
        <v>2231.6999999999998</v>
      </c>
      <c r="D6">
        <v>0</v>
      </c>
      <c r="E6">
        <v>0</v>
      </c>
      <c r="F6">
        <v>0</v>
      </c>
      <c r="G6" s="2">
        <v>0</v>
      </c>
      <c r="H6" t="s">
        <v>1</v>
      </c>
    </row>
    <row r="7" spans="1:8" x14ac:dyDescent="0.25">
      <c r="B7" t="s">
        <v>57</v>
      </c>
      <c r="C7" s="2">
        <v>78117.100000000006</v>
      </c>
      <c r="D7" s="2">
        <v>83038.5</v>
      </c>
      <c r="E7" s="2">
        <v>71704.800000000003</v>
      </c>
      <c r="F7" s="2">
        <v>66571.8</v>
      </c>
      <c r="G7" s="2">
        <v>83799.8</v>
      </c>
      <c r="H7" t="s">
        <v>1</v>
      </c>
    </row>
    <row r="8" spans="1:8" x14ac:dyDescent="0.25">
      <c r="B8" t="s">
        <v>58</v>
      </c>
      <c r="C8" s="2">
        <v>79809.399999999994</v>
      </c>
      <c r="D8" s="2">
        <v>86068.5</v>
      </c>
      <c r="E8" s="2">
        <v>75660</v>
      </c>
      <c r="F8" s="2">
        <v>70372</v>
      </c>
      <c r="G8" s="2">
        <v>88329.8</v>
      </c>
      <c r="H8" t="s">
        <v>1</v>
      </c>
    </row>
    <row r="9" spans="1:8" x14ac:dyDescent="0.25">
      <c r="A9" t="s">
        <v>59</v>
      </c>
      <c r="B9" t="s">
        <v>59</v>
      </c>
      <c r="C9" s="2">
        <v>2045.8</v>
      </c>
      <c r="D9" s="2">
        <v>2561.6</v>
      </c>
      <c r="E9" s="2">
        <v>3334.4</v>
      </c>
      <c r="F9" s="2">
        <v>2936.3</v>
      </c>
      <c r="G9" s="2">
        <v>1744.7</v>
      </c>
      <c r="H9" t="s">
        <v>1</v>
      </c>
    </row>
    <row r="10" spans="1:8" x14ac:dyDescent="0.25">
      <c r="B10" t="s">
        <v>60</v>
      </c>
      <c r="C10" s="2">
        <v>81855.199999999997</v>
      </c>
      <c r="D10" s="2">
        <v>88630.1</v>
      </c>
      <c r="E10" s="2">
        <v>78994.399999999994</v>
      </c>
      <c r="F10" s="2">
        <v>73308.3</v>
      </c>
      <c r="G10" s="2">
        <v>90074.5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44943.199999999997</v>
      </c>
      <c r="D12" s="2">
        <v>45025.7</v>
      </c>
      <c r="E12" s="2">
        <v>34634.800000000003</v>
      </c>
      <c r="F12" s="2">
        <v>33296.400000000001</v>
      </c>
      <c r="G12" s="2">
        <v>39739.599999999999</v>
      </c>
      <c r="H12" t="s">
        <v>1</v>
      </c>
    </row>
    <row r="13" spans="1:8" x14ac:dyDescent="0.25">
      <c r="B13" t="s">
        <v>63</v>
      </c>
      <c r="C13" s="2">
        <v>10002.1</v>
      </c>
      <c r="D13" s="2">
        <v>15026.6</v>
      </c>
      <c r="E13" s="2">
        <v>18767.2</v>
      </c>
      <c r="F13" s="2">
        <v>17254.099999999999</v>
      </c>
      <c r="G13" s="2">
        <v>26397.5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>
        <v>40.799999999999997</v>
      </c>
      <c r="D15">
        <v>211.6</v>
      </c>
      <c r="E15">
        <v>-238.7</v>
      </c>
      <c r="F15">
        <v>273.60000000000002</v>
      </c>
      <c r="G15">
        <v>-93.1</v>
      </c>
      <c r="H15" t="s">
        <v>1</v>
      </c>
    </row>
    <row r="16" spans="1:8" x14ac:dyDescent="0.25">
      <c r="A16" t="s">
        <v>99</v>
      </c>
      <c r="B16" t="s">
        <v>66</v>
      </c>
      <c r="C16" s="2">
        <v>2863.4</v>
      </c>
      <c r="D16" s="2">
        <v>3285</v>
      </c>
      <c r="E16" s="2">
        <v>3416.2</v>
      </c>
      <c r="F16" s="2">
        <v>3431.6</v>
      </c>
      <c r="G16" s="2">
        <v>4051.4</v>
      </c>
      <c r="H16" t="s">
        <v>1</v>
      </c>
    </row>
    <row r="17" spans="1:8" x14ac:dyDescent="0.25">
      <c r="A17" t="s">
        <v>100</v>
      </c>
      <c r="B17" t="s">
        <v>67</v>
      </c>
      <c r="C17">
        <v>345.8</v>
      </c>
      <c r="D17">
        <v>75.900000000000006</v>
      </c>
      <c r="E17">
        <v>134.19999999999999</v>
      </c>
      <c r="F17">
        <v>101.8</v>
      </c>
      <c r="G17">
        <v>126.6</v>
      </c>
      <c r="H17" t="s">
        <v>1</v>
      </c>
    </row>
    <row r="18" spans="1:8" x14ac:dyDescent="0.25">
      <c r="A18" t="s">
        <v>101</v>
      </c>
      <c r="B18" t="s">
        <v>68</v>
      </c>
      <c r="C18" s="2">
        <v>2759.8</v>
      </c>
      <c r="D18" s="2">
        <v>3020.8</v>
      </c>
      <c r="E18" s="2">
        <v>3528.4</v>
      </c>
      <c r="F18" s="2">
        <v>3034.1</v>
      </c>
      <c r="G18" s="2">
        <v>2789</v>
      </c>
      <c r="H18" t="s">
        <v>1</v>
      </c>
    </row>
    <row r="19" spans="1:8" x14ac:dyDescent="0.25">
      <c r="A19" t="s">
        <v>99</v>
      </c>
      <c r="B19" t="s">
        <v>69</v>
      </c>
      <c r="C19" s="2">
        <v>9995.6</v>
      </c>
      <c r="D19" s="2">
        <v>11638.5</v>
      </c>
      <c r="E19" s="2">
        <v>11889.6</v>
      </c>
      <c r="F19" s="2">
        <v>10837.5</v>
      </c>
      <c r="G19" s="2">
        <v>12528.2</v>
      </c>
      <c r="H19" t="s">
        <v>1</v>
      </c>
    </row>
    <row r="20" spans="1:8" x14ac:dyDescent="0.25">
      <c r="B20" t="s">
        <v>70</v>
      </c>
      <c r="C20" s="2">
        <v>70851.600000000006</v>
      </c>
      <c r="D20" s="2">
        <v>78162</v>
      </c>
      <c r="E20" s="2">
        <v>72010</v>
      </c>
      <c r="F20" s="2">
        <v>68156.3</v>
      </c>
      <c r="G20" s="2">
        <v>85539.199999999997</v>
      </c>
      <c r="H20" t="s">
        <v>1</v>
      </c>
    </row>
    <row r="21" spans="1:8" x14ac:dyDescent="0.25">
      <c r="B21" t="s">
        <v>71</v>
      </c>
      <c r="C21" s="2">
        <v>11003.6</v>
      </c>
      <c r="D21" s="2">
        <v>10468.1</v>
      </c>
      <c r="E21" s="2">
        <v>6984.4</v>
      </c>
      <c r="F21" s="2">
        <v>5152</v>
      </c>
      <c r="G21" s="2">
        <v>4535.3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11003.6</v>
      </c>
      <c r="D23" s="2">
        <v>10468.1</v>
      </c>
      <c r="E23" s="2">
        <v>6984.4</v>
      </c>
      <c r="F23" s="2">
        <v>5152</v>
      </c>
      <c r="G23" s="2">
        <v>4535.3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>
        <v>3350.5</v>
      </c>
      <c r="D25" s="2">
        <v>2933.8</v>
      </c>
      <c r="E25" s="2">
        <v>1376.5</v>
      </c>
      <c r="F25" s="2">
        <v>1156.2</v>
      </c>
      <c r="G25" s="2">
        <v>817.7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-64.3</v>
      </c>
      <c r="D27">
        <v>39.4</v>
      </c>
      <c r="E27">
        <v>48.7</v>
      </c>
      <c r="F27">
        <v>-224.3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>
        <v>3286.2</v>
      </c>
      <c r="D29">
        <v>2973.2</v>
      </c>
      <c r="E29" s="2">
        <v>1425.2</v>
      </c>
      <c r="F29" s="2">
        <v>931.9</v>
      </c>
      <c r="G29" s="2">
        <v>817.7</v>
      </c>
      <c r="H29" t="s">
        <v>1</v>
      </c>
    </row>
    <row r="30" spans="1:8" x14ac:dyDescent="0.25">
      <c r="B30" t="s">
        <v>80</v>
      </c>
      <c r="C30" s="2">
        <v>7717.4</v>
      </c>
      <c r="D30" s="2">
        <v>7494.9</v>
      </c>
      <c r="E30" s="2">
        <v>5559.2</v>
      </c>
      <c r="F30" s="2">
        <v>4220.1000000000004</v>
      </c>
      <c r="G30" s="2">
        <v>3717.6</v>
      </c>
      <c r="H30" t="s">
        <v>1</v>
      </c>
    </row>
    <row r="31" spans="1:8" x14ac:dyDescent="0.25">
      <c r="B31" t="s">
        <v>81</v>
      </c>
      <c r="C31" s="2">
        <v>7717.4</v>
      </c>
      <c r="D31" s="2">
        <v>7494.9</v>
      </c>
      <c r="E31" s="2">
        <v>5559.2</v>
      </c>
      <c r="F31" s="2">
        <v>4220.1000000000004</v>
      </c>
      <c r="G31" s="2">
        <v>3717.6</v>
      </c>
      <c r="H31" t="s">
        <v>1</v>
      </c>
    </row>
    <row r="32" spans="1:8" x14ac:dyDescent="0.25">
      <c r="B32" t="s">
        <v>82</v>
      </c>
      <c r="C32" s="2">
        <v>7717.4</v>
      </c>
      <c r="D32" s="2">
        <v>7494.9</v>
      </c>
      <c r="E32" s="2">
        <v>5559.2</v>
      </c>
      <c r="F32" s="2">
        <v>4220.1000000000004</v>
      </c>
      <c r="G32" s="2">
        <v>3717.6</v>
      </c>
      <c r="H32" t="s">
        <v>1</v>
      </c>
    </row>
    <row r="33" spans="1:8" x14ac:dyDescent="0.25">
      <c r="B33" t="s">
        <v>10</v>
      </c>
      <c r="C33">
        <v>-0.7</v>
      </c>
      <c r="D33">
        <v>-1.5</v>
      </c>
      <c r="E33">
        <v>-1.6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7880</v>
      </c>
      <c r="D34" s="2">
        <v>7649.1</v>
      </c>
      <c r="E34" s="2">
        <v>5676</v>
      </c>
      <c r="F34" s="2">
        <v>4389.1000000000004</v>
      </c>
      <c r="G34" s="2">
        <v>3879.5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261</v>
      </c>
      <c r="D37">
        <v>253</v>
      </c>
      <c r="E37">
        <v>188</v>
      </c>
      <c r="F37">
        <v>145</v>
      </c>
      <c r="G37">
        <v>128</v>
      </c>
      <c r="H37" t="s">
        <v>1</v>
      </c>
    </row>
    <row r="38" spans="1:8" x14ac:dyDescent="0.25">
      <c r="B38" t="s">
        <v>86</v>
      </c>
      <c r="C38">
        <v>261</v>
      </c>
      <c r="D38">
        <v>253</v>
      </c>
      <c r="E38">
        <v>188</v>
      </c>
      <c r="F38">
        <v>145</v>
      </c>
      <c r="G38">
        <v>128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2265.6</v>
      </c>
      <c r="D40" s="2">
        <v>2416.6</v>
      </c>
      <c r="E40" s="2">
        <v>2416.6</v>
      </c>
      <c r="F40" s="2">
        <v>1812.5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461.2</v>
      </c>
      <c r="D41">
        <v>496.8</v>
      </c>
      <c r="E41">
        <v>496.8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94663-53CB-4A4F-9E8E-36FF8EFAFB0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19600.900000000012</v>
      </c>
      <c r="D6" s="16">
        <f>'Income Statement'!D19</f>
        <v>22630.100000000009</v>
      </c>
      <c r="E6" s="16">
        <f>'Income Statement'!E19</f>
        <v>21570.199999999997</v>
      </c>
      <c r="F6" s="16">
        <f>'Income Statement'!F19</f>
        <v>18908.500000000007</v>
      </c>
      <c r="G6" s="16">
        <f>'Income Statement'!G19</f>
        <v>26436.300000000003</v>
      </c>
    </row>
    <row r="7" spans="2:7" ht="18.75" x14ac:dyDescent="0.25">
      <c r="B7" s="15" t="str">
        <f>'Income Statement'!B20</f>
        <v>Finance Costs</v>
      </c>
      <c r="C7" s="16">
        <f>'Income Statement'!C20</f>
        <v>345.8</v>
      </c>
      <c r="D7" s="16">
        <f>'Income Statement'!D20</f>
        <v>75.900000000000006</v>
      </c>
      <c r="E7" s="16">
        <f>'Income Statement'!E20</f>
        <v>134.19999999999999</v>
      </c>
      <c r="F7" s="16">
        <f>'Income Statement'!F20</f>
        <v>101.8</v>
      </c>
      <c r="G7" s="16">
        <f>'Income Statement'!G20</f>
        <v>126.6</v>
      </c>
    </row>
    <row r="8" spans="2:7" ht="18.75" x14ac:dyDescent="0.25">
      <c r="B8" s="17" t="s">
        <v>173</v>
      </c>
      <c r="C8" s="17">
        <f>ROUND(C6/C7, 2)</f>
        <v>56.68</v>
      </c>
      <c r="D8" s="17">
        <f t="shared" ref="D8:G8" si="0">ROUND(D6/D7, 2)</f>
        <v>298.16000000000003</v>
      </c>
      <c r="E8" s="17">
        <f t="shared" si="0"/>
        <v>160.72999999999999</v>
      </c>
      <c r="F8" s="17">
        <f t="shared" si="0"/>
        <v>185.74</v>
      </c>
      <c r="G8" s="17">
        <f t="shared" si="0"/>
        <v>208.82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8A9C8A-BF90-4E28-BB13-47EC6252FA8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44943.199999999997</v>
      </c>
      <c r="D6" s="16">
        <f>'Income Statement'!D11</f>
        <v>45025.7</v>
      </c>
      <c r="E6" s="16">
        <f>'Income Statement'!E11</f>
        <v>34634.800000000003</v>
      </c>
      <c r="F6" s="16">
        <f>'Income Statement'!F11</f>
        <v>33296.400000000001</v>
      </c>
      <c r="G6" s="16">
        <f>'Income Statement'!G11</f>
        <v>39739.599999999999</v>
      </c>
    </row>
    <row r="7" spans="2:7" ht="18.75" x14ac:dyDescent="0.25">
      <c r="B7" s="15" t="str">
        <f>'Income Statement'!B7</f>
        <v>Net Sales</v>
      </c>
      <c r="C7" s="16">
        <f>'Income Statement'!C7</f>
        <v>78117.100000000006</v>
      </c>
      <c r="D7" s="16">
        <f>'Income Statement'!D7</f>
        <v>83038.5</v>
      </c>
      <c r="E7" s="16">
        <f>'Income Statement'!E7</f>
        <v>71704.800000000003</v>
      </c>
      <c r="F7" s="16">
        <f>'Income Statement'!F7</f>
        <v>66571.8</v>
      </c>
      <c r="G7" s="16">
        <f>'Income Statement'!G7</f>
        <v>83799.8</v>
      </c>
    </row>
    <row r="8" spans="2:7" ht="18.75" x14ac:dyDescent="0.25">
      <c r="B8" s="17" t="s">
        <v>175</v>
      </c>
      <c r="C8" s="17">
        <f>ROUND(C6/C7, 2)</f>
        <v>0.57999999999999996</v>
      </c>
      <c r="D8" s="17">
        <f t="shared" ref="D8:G8" si="0">ROUND(D6/D7, 2)</f>
        <v>0.54</v>
      </c>
      <c r="E8" s="17">
        <f t="shared" si="0"/>
        <v>0.48</v>
      </c>
      <c r="F8" s="17">
        <f t="shared" si="0"/>
        <v>0.5</v>
      </c>
      <c r="G8" s="17">
        <f t="shared" si="0"/>
        <v>0.47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36FB7-2245-46F5-A555-4D1502CD7E1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74</v>
      </c>
      <c r="D6" s="16">
        <f>'Balance Sheet'!D38</f>
        <v>15343.500000000013</v>
      </c>
      <c r="E6" s="16">
        <f>'Balance Sheet'!E38</f>
        <v>33560.500000000007</v>
      </c>
      <c r="F6" s="16">
        <f>'Balance Sheet'!F38</f>
        <v>52814.000000000015</v>
      </c>
      <c r="G6" s="16">
        <f>'Balance Sheet'!G38</f>
        <v>77959.700000000012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44943.199999999997</v>
      </c>
      <c r="D7" s="16">
        <f>'Income Statement'!D11</f>
        <v>45025.7</v>
      </c>
      <c r="E7" s="16">
        <f>'Income Statement'!E11</f>
        <v>34634.800000000003</v>
      </c>
      <c r="F7" s="16">
        <f>'Income Statement'!F11</f>
        <v>33296.400000000001</v>
      </c>
      <c r="G7" s="16">
        <f>'Income Statement'!G11</f>
        <v>39739.599999999999</v>
      </c>
    </row>
    <row r="8" spans="2:7" ht="18.75" x14ac:dyDescent="0.25">
      <c r="B8" s="17" t="s">
        <v>177</v>
      </c>
      <c r="C8" s="17">
        <f>ROUND(C6/C7*365, 2)</f>
        <v>0.6</v>
      </c>
      <c r="D8" s="17">
        <f t="shared" ref="D8:G8" si="0">ROUND(D6/D7*365, 2)</f>
        <v>124.38</v>
      </c>
      <c r="E8" s="17">
        <f t="shared" si="0"/>
        <v>353.68</v>
      </c>
      <c r="F8" s="17">
        <f t="shared" si="0"/>
        <v>578.95000000000005</v>
      </c>
      <c r="G8" s="17">
        <f t="shared" si="0"/>
        <v>716.04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5B322-EFDF-41DA-837F-A5EEFA04D3FD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0" bestFit="1" customWidth="1"/>
    <col min="4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74</v>
      </c>
      <c r="D6" s="16">
        <f>'Balance Sheet'!D38</f>
        <v>15343.500000000013</v>
      </c>
      <c r="E6" s="16">
        <f>'Balance Sheet'!E38</f>
        <v>33560.500000000007</v>
      </c>
      <c r="F6" s="16">
        <f>'Balance Sheet'!F38</f>
        <v>52814.000000000015</v>
      </c>
      <c r="G6" s="16">
        <f>'Balance Sheet'!G38</f>
        <v>77959.700000000012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74</v>
      </c>
      <c r="D8" s="17">
        <f t="shared" ref="D8:G8" si="0">ROUND(D6/D7*365, 2)</f>
        <v>15343.5</v>
      </c>
      <c r="E8" s="17">
        <f t="shared" si="0"/>
        <v>33560.5</v>
      </c>
      <c r="F8" s="17">
        <f t="shared" si="0"/>
        <v>52814</v>
      </c>
      <c r="G8" s="17">
        <f t="shared" si="0"/>
        <v>77959.7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540EC-CFDC-4C0D-84FE-578B1636345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5" width="13.140625" bestFit="1" customWidth="1"/>
    <col min="6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'Balance Sheet'!B40</f>
        <v>Total Assets</v>
      </c>
      <c r="C7" s="16">
        <f>'Balance Sheet'!C40</f>
        <v>60248.400000000009</v>
      </c>
      <c r="D7" s="16">
        <f>'Balance Sheet'!D40</f>
        <v>76103.600000000006</v>
      </c>
      <c r="E7" s="16">
        <f>'Balance Sheet'!E40</f>
        <v>90539.1</v>
      </c>
      <c r="F7" s="16">
        <f>'Balance Sheet'!F40</f>
        <v>111168.80000000002</v>
      </c>
      <c r="G7" s="16">
        <f>'Balance Sheet'!G40</f>
        <v>137200.70000000001</v>
      </c>
    </row>
    <row r="8" spans="2:7" ht="18.75" x14ac:dyDescent="0.25">
      <c r="B8" s="17" t="s">
        <v>182</v>
      </c>
      <c r="C8" s="17">
        <f>ROUND(C6/C7, 2)</f>
        <v>1.33</v>
      </c>
      <c r="D8" s="17">
        <f t="shared" ref="D8:G8" si="0">ROUND(D6/D7, 2)</f>
        <v>1.0900000000000001</v>
      </c>
      <c r="E8" s="17">
        <f t="shared" si="0"/>
        <v>0.79</v>
      </c>
      <c r="F8" s="17">
        <f t="shared" si="0"/>
        <v>0.6</v>
      </c>
      <c r="G8" s="17">
        <f t="shared" si="0"/>
        <v>0.61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3DCC7-B3B8-421C-884E-3B4B86972A0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'Balance Sheet'!B36</f>
        <v>Inventories</v>
      </c>
      <c r="C7" s="16">
        <f>'Balance Sheet'!C36</f>
        <v>3160.2</v>
      </c>
      <c r="D7" s="16">
        <f>'Balance Sheet'!D36</f>
        <v>3322.6</v>
      </c>
      <c r="E7" s="16">
        <f>'Balance Sheet'!E36</f>
        <v>3213.9</v>
      </c>
      <c r="F7" s="16">
        <f>'Balance Sheet'!F36</f>
        <v>3049</v>
      </c>
      <c r="G7" s="16">
        <f>'Balance Sheet'!G36</f>
        <v>3532.3</v>
      </c>
    </row>
    <row r="8" spans="2:7" ht="18.75" x14ac:dyDescent="0.25">
      <c r="B8" s="17" t="s">
        <v>184</v>
      </c>
      <c r="C8" s="17">
        <f>ROUND(C6/C7, 2)</f>
        <v>25.43</v>
      </c>
      <c r="D8" s="17">
        <f t="shared" ref="D8:G8" si="0">ROUND(D6/D7, 2)</f>
        <v>24.99</v>
      </c>
      <c r="E8" s="17">
        <f t="shared" si="0"/>
        <v>22.31</v>
      </c>
      <c r="F8" s="17">
        <f t="shared" si="0"/>
        <v>21.83</v>
      </c>
      <c r="G8" s="17">
        <f t="shared" si="0"/>
        <v>23.72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1BDF4-C0F9-418F-9550-6C952282B32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'Balance Sheet'!B37</f>
        <v>Trade Receivables</v>
      </c>
      <c r="C7" s="16">
        <f>'Balance Sheet'!C37</f>
        <v>1465.4</v>
      </c>
      <c r="D7" s="16">
        <f>'Balance Sheet'!D37</f>
        <v>2312.8000000000002</v>
      </c>
      <c r="E7" s="16">
        <f>'Balance Sheet'!E37</f>
        <v>1977.7</v>
      </c>
      <c r="F7" s="16">
        <f>'Balance Sheet'!F37</f>
        <v>1279.9000000000001</v>
      </c>
      <c r="G7" s="16">
        <f>'Balance Sheet'!G37</f>
        <v>2034.5</v>
      </c>
    </row>
    <row r="8" spans="2:7" ht="18.75" x14ac:dyDescent="0.25">
      <c r="B8" s="17" t="s">
        <v>186</v>
      </c>
      <c r="C8" s="17">
        <f>ROUND(C6/C7, 2)</f>
        <v>54.83</v>
      </c>
      <c r="D8" s="17">
        <f t="shared" ref="D8:G8" si="0">ROUND(D6/D7, 2)</f>
        <v>35.9</v>
      </c>
      <c r="E8" s="17">
        <f t="shared" si="0"/>
        <v>36.26</v>
      </c>
      <c r="F8" s="17">
        <f t="shared" si="0"/>
        <v>52.01</v>
      </c>
      <c r="G8" s="17">
        <f t="shared" si="0"/>
        <v>41.19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030A6-E69C-4708-8D62-01260F9974D1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'Balance Sheet'!B23</f>
        <v>Tangible Assets</v>
      </c>
      <c r="C7" s="16">
        <f>'Balance Sheet'!C23</f>
        <v>13077.1</v>
      </c>
      <c r="D7" s="16">
        <f>'Balance Sheet'!D23</f>
        <v>14986.2</v>
      </c>
      <c r="E7" s="16">
        <f>'Balance Sheet'!E23</f>
        <v>15408.6</v>
      </c>
      <c r="F7" s="16">
        <f>'Balance Sheet'!F23</f>
        <v>14764.5</v>
      </c>
      <c r="G7" s="16">
        <f>'Balance Sheet'!G23</f>
        <v>16683.7</v>
      </c>
    </row>
    <row r="8" spans="2:7" ht="18.75" x14ac:dyDescent="0.25">
      <c r="B8" s="17" t="s">
        <v>188</v>
      </c>
      <c r="C8" s="17">
        <f>ROUND(C6/C7, 2)</f>
        <v>6.14</v>
      </c>
      <c r="D8" s="17">
        <f t="shared" ref="D8:G8" si="0">ROUND(D6/D7, 2)</f>
        <v>5.54</v>
      </c>
      <c r="E8" s="17">
        <f t="shared" si="0"/>
        <v>4.6500000000000004</v>
      </c>
      <c r="F8" s="17">
        <f t="shared" si="0"/>
        <v>4.51</v>
      </c>
      <c r="G8" s="17">
        <f t="shared" si="0"/>
        <v>5.0199999999999996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FBACC-0935-41AD-92EC-2A039679B46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44943.199999999997</v>
      </c>
      <c r="D6" s="16">
        <f>'Income Statement'!D11</f>
        <v>45025.7</v>
      </c>
      <c r="E6" s="16">
        <f>'Income Statement'!E11</f>
        <v>34634.800000000003</v>
      </c>
      <c r="F6" s="16">
        <f>'Income Statement'!F11</f>
        <v>33296.400000000001</v>
      </c>
      <c r="G6" s="16">
        <f>'Income Statement'!G11</f>
        <v>39739.599999999999</v>
      </c>
    </row>
    <row r="7" spans="2:7" ht="18.75" x14ac:dyDescent="0.25">
      <c r="B7" s="15" t="str">
        <f>'Balance Sheet'!B19</f>
        <v>Total Current Liabilities</v>
      </c>
      <c r="C7" s="16">
        <f>'Balance Sheet'!C19</f>
        <v>16950.099999999999</v>
      </c>
      <c r="D7" s="16">
        <f>'Balance Sheet'!D19</f>
        <v>16087.5</v>
      </c>
      <c r="E7" s="16">
        <f>'Balance Sheet'!E19</f>
        <v>13426.300000000001</v>
      </c>
      <c r="F7" s="16">
        <f>'Balance Sheet'!F19</f>
        <v>17845.099999999999</v>
      </c>
      <c r="G7" s="16">
        <f>'Balance Sheet'!G19</f>
        <v>18940.099999999999</v>
      </c>
    </row>
    <row r="8" spans="2:7" ht="18.75" x14ac:dyDescent="0.25">
      <c r="B8" s="17" t="s">
        <v>190</v>
      </c>
      <c r="C8" s="17">
        <f>ROUND(C6/C7, 2)</f>
        <v>2.65</v>
      </c>
      <c r="D8" s="17">
        <f t="shared" ref="D8:G8" si="0">ROUND(D6/D7, 2)</f>
        <v>2.8</v>
      </c>
      <c r="E8" s="17">
        <f t="shared" si="0"/>
        <v>2.58</v>
      </c>
      <c r="F8" s="17">
        <f t="shared" si="0"/>
        <v>1.87</v>
      </c>
      <c r="G8" s="17">
        <f t="shared" si="0"/>
        <v>2.1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D5A50-BDCD-47A2-903A-D30C4C5B4E1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'Balance Sheet'!B36</f>
        <v>Inventories</v>
      </c>
      <c r="C7" s="16">
        <f>'Balance Sheet'!C36</f>
        <v>3160.2</v>
      </c>
      <c r="D7" s="16">
        <f>'Balance Sheet'!D36</f>
        <v>3322.6</v>
      </c>
      <c r="E7" s="16">
        <f>'Balance Sheet'!E36</f>
        <v>3213.9</v>
      </c>
      <c r="F7" s="16">
        <f>'Balance Sheet'!F36</f>
        <v>3049</v>
      </c>
      <c r="G7" s="16">
        <f>'Balance Sheet'!G36</f>
        <v>3532.3</v>
      </c>
    </row>
    <row r="8" spans="2:7" ht="18.75" x14ac:dyDescent="0.25">
      <c r="B8" s="17" t="s">
        <v>192</v>
      </c>
      <c r="C8" s="17">
        <f>ROUND(365/C6*C7, 2)</f>
        <v>14.36</v>
      </c>
      <c r="D8" s="17">
        <f t="shared" ref="D8:G8" si="0">ROUND(365/D6*D7, 2)</f>
        <v>14.6</v>
      </c>
      <c r="E8" s="17">
        <f t="shared" si="0"/>
        <v>16.36</v>
      </c>
      <c r="F8" s="17">
        <f t="shared" si="0"/>
        <v>16.72</v>
      </c>
      <c r="G8" s="17">
        <f t="shared" si="0"/>
        <v>15.39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F6A03-5FB1-4952-A2ED-713D619C1E84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3" width="17.140625" bestFit="1" customWidth="1"/>
    <col min="4" max="6" width="18.85546875" bestFit="1" customWidth="1"/>
    <col min="7" max="7" width="15.570312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80348.800000000003</v>
      </c>
      <c r="D5" s="5">
        <v>83038.5</v>
      </c>
      <c r="E5" s="5">
        <v>71704.800000000003</v>
      </c>
      <c r="F5" s="5">
        <v>66571.8</v>
      </c>
      <c r="G5" s="5">
        <v>83799.8</v>
      </c>
    </row>
    <row r="6" spans="2:7" ht="18.75" x14ac:dyDescent="0.25">
      <c r="B6" s="8" t="s">
        <v>98</v>
      </c>
      <c r="C6" s="4">
        <v>2231.6999999999998</v>
      </c>
      <c r="D6" s="4">
        <v>0</v>
      </c>
      <c r="E6" s="4">
        <v>0</v>
      </c>
      <c r="F6" s="4">
        <v>0</v>
      </c>
      <c r="G6" s="5">
        <v>0</v>
      </c>
    </row>
    <row r="7" spans="2:7" ht="18.75" x14ac:dyDescent="0.25">
      <c r="B7" s="9" t="s">
        <v>105</v>
      </c>
      <c r="C7" s="7">
        <f>C5 - C6</f>
        <v>78117.100000000006</v>
      </c>
      <c r="D7" s="7">
        <f t="shared" ref="D7:G7" si="0">D5 - D6</f>
        <v>83038.5</v>
      </c>
      <c r="E7" s="7">
        <f t="shared" si="0"/>
        <v>71704.800000000003</v>
      </c>
      <c r="F7" s="7">
        <f t="shared" si="0"/>
        <v>66571.8</v>
      </c>
      <c r="G7" s="7">
        <f t="shared" si="0"/>
        <v>83799.8</v>
      </c>
    </row>
    <row r="8" spans="2:7" ht="18.75" x14ac:dyDescent="0.25">
      <c r="B8" s="8" t="s">
        <v>59</v>
      </c>
      <c r="C8" s="5">
        <v>2045.8</v>
      </c>
      <c r="D8" s="5">
        <v>2561.6</v>
      </c>
      <c r="E8" s="5">
        <v>3334.4</v>
      </c>
      <c r="F8" s="5">
        <v>2936.3</v>
      </c>
      <c r="G8" s="5">
        <v>1744.7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80162.900000000009</v>
      </c>
      <c r="D10" s="7">
        <f t="shared" ref="D10:G10" si="1">SUM(D7:D9)</f>
        <v>85600.1</v>
      </c>
      <c r="E10" s="7">
        <f t="shared" si="1"/>
        <v>75039.199999999997</v>
      </c>
      <c r="F10" s="7">
        <f t="shared" si="1"/>
        <v>69508.100000000006</v>
      </c>
      <c r="G10" s="7">
        <f t="shared" si="1"/>
        <v>85544.5</v>
      </c>
    </row>
    <row r="11" spans="2:7" ht="18.75" x14ac:dyDescent="0.25">
      <c r="B11" s="8" t="s">
        <v>62</v>
      </c>
      <c r="C11" s="5">
        <v>44943.199999999997</v>
      </c>
      <c r="D11" s="5">
        <v>45025.7</v>
      </c>
      <c r="E11" s="5">
        <v>34634.800000000003</v>
      </c>
      <c r="F11" s="5">
        <v>33296.400000000001</v>
      </c>
      <c r="G11" s="5">
        <v>39739.599999999999</v>
      </c>
    </row>
    <row r="12" spans="2:7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7" ht="18.75" x14ac:dyDescent="0.25">
      <c r="B13" s="8" t="s">
        <v>66</v>
      </c>
      <c r="C13" s="5">
        <v>2863.4</v>
      </c>
      <c r="D13" s="5">
        <v>3285</v>
      </c>
      <c r="E13" s="5">
        <v>3416.2</v>
      </c>
      <c r="F13" s="5">
        <v>3431.6</v>
      </c>
      <c r="G13" s="5">
        <v>4051.4</v>
      </c>
    </row>
    <row r="14" spans="2:7" ht="18.75" x14ac:dyDescent="0.25">
      <c r="B14" s="8" t="s">
        <v>69</v>
      </c>
      <c r="C14" s="5">
        <v>9995.6</v>
      </c>
      <c r="D14" s="5">
        <v>11638.5</v>
      </c>
      <c r="E14" s="5">
        <v>11889.6</v>
      </c>
      <c r="F14" s="5">
        <v>10837.5</v>
      </c>
      <c r="G14" s="5">
        <v>12528.2</v>
      </c>
    </row>
    <row r="15" spans="2:7" ht="18.75" x14ac:dyDescent="0.25">
      <c r="B15" s="9" t="s">
        <v>108</v>
      </c>
      <c r="C15" s="7">
        <f>C11+C12+C13+C14</f>
        <v>57802.2</v>
      </c>
      <c r="D15" s="7">
        <f t="shared" ref="D15:G15" si="2">D11+D12+D13+D14</f>
        <v>59949.2</v>
      </c>
      <c r="E15" s="7">
        <f t="shared" si="2"/>
        <v>49940.6</v>
      </c>
      <c r="F15" s="7">
        <f t="shared" si="2"/>
        <v>47565.5</v>
      </c>
      <c r="G15" s="7">
        <f t="shared" si="2"/>
        <v>56319.199999999997</v>
      </c>
    </row>
    <row r="16" spans="2:7" ht="18.75" x14ac:dyDescent="0.25">
      <c r="B16" s="9" t="s">
        <v>109</v>
      </c>
      <c r="C16" s="7">
        <f xml:space="preserve"> C10-C15-C8</f>
        <v>20314.900000000012</v>
      </c>
      <c r="D16" s="7">
        <f t="shared" ref="D16:G16" si="3" xml:space="preserve"> D10-D15-D8</f>
        <v>23089.30000000001</v>
      </c>
      <c r="E16" s="7">
        <f t="shared" si="3"/>
        <v>21764.199999999997</v>
      </c>
      <c r="F16" s="7">
        <f t="shared" si="3"/>
        <v>19006.300000000007</v>
      </c>
      <c r="G16" s="7">
        <f t="shared" si="3"/>
        <v>27480.600000000002</v>
      </c>
    </row>
    <row r="17" spans="2:7" ht="18.75" x14ac:dyDescent="0.25">
      <c r="B17" s="9" t="s">
        <v>110</v>
      </c>
      <c r="C17" s="7">
        <f xml:space="preserve"> C16+C8</f>
        <v>22360.700000000012</v>
      </c>
      <c r="D17" s="7">
        <f t="shared" ref="D17:G17" si="4" xml:space="preserve"> D16+D8</f>
        <v>25650.900000000009</v>
      </c>
      <c r="E17" s="7">
        <f t="shared" si="4"/>
        <v>25098.6</v>
      </c>
      <c r="F17" s="7">
        <f t="shared" si="4"/>
        <v>21942.600000000006</v>
      </c>
      <c r="G17" s="7">
        <f t="shared" si="4"/>
        <v>29225.300000000003</v>
      </c>
    </row>
    <row r="18" spans="2:7" ht="18.75" x14ac:dyDescent="0.25">
      <c r="B18" s="8" t="s">
        <v>68</v>
      </c>
      <c r="C18" s="5">
        <v>2759.8</v>
      </c>
      <c r="D18" s="5">
        <v>3020.8</v>
      </c>
      <c r="E18" s="5">
        <v>3528.4</v>
      </c>
      <c r="F18" s="5">
        <v>3034.1</v>
      </c>
      <c r="G18" s="5">
        <v>2789</v>
      </c>
    </row>
    <row r="19" spans="2:7" ht="18.75" x14ac:dyDescent="0.25">
      <c r="B19" s="9" t="s">
        <v>111</v>
      </c>
      <c r="C19" s="7">
        <f xml:space="preserve"> C17-C18</f>
        <v>19600.900000000012</v>
      </c>
      <c r="D19" s="7">
        <f t="shared" ref="D19:G19" si="5" xml:space="preserve"> D17-D18</f>
        <v>22630.100000000009</v>
      </c>
      <c r="E19" s="7">
        <f t="shared" si="5"/>
        <v>21570.199999999997</v>
      </c>
      <c r="F19" s="7">
        <f t="shared" si="5"/>
        <v>18908.500000000007</v>
      </c>
      <c r="G19" s="7">
        <f t="shared" si="5"/>
        <v>26436.300000000003</v>
      </c>
    </row>
    <row r="20" spans="2:7" ht="18.75" x14ac:dyDescent="0.25">
      <c r="B20" s="8" t="s">
        <v>67</v>
      </c>
      <c r="C20" s="4">
        <v>345.8</v>
      </c>
      <c r="D20" s="4">
        <v>75.900000000000006</v>
      </c>
      <c r="E20" s="4">
        <v>134.19999999999999</v>
      </c>
      <c r="F20" s="4">
        <v>101.8</v>
      </c>
      <c r="G20" s="4">
        <v>126.6</v>
      </c>
    </row>
    <row r="21" spans="2:7" ht="18.75" x14ac:dyDescent="0.25">
      <c r="B21" s="9" t="s">
        <v>112</v>
      </c>
      <c r="C21" s="7">
        <f xml:space="preserve"> C19-C20</f>
        <v>19255.100000000013</v>
      </c>
      <c r="D21" s="7">
        <f t="shared" ref="D21:G21" si="6" xml:space="preserve"> D19-D20</f>
        <v>22554.200000000008</v>
      </c>
      <c r="E21" s="7">
        <f t="shared" si="6"/>
        <v>21435.999999999996</v>
      </c>
      <c r="F21" s="7">
        <f t="shared" si="6"/>
        <v>18806.700000000008</v>
      </c>
      <c r="G21" s="7">
        <f t="shared" si="6"/>
        <v>26309.700000000004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19255.100000000013</v>
      </c>
      <c r="D23" s="7">
        <f t="shared" ref="D23:G23" si="7" xml:space="preserve"> D21+D22</f>
        <v>22554.200000000008</v>
      </c>
      <c r="E23" s="7">
        <f t="shared" si="7"/>
        <v>21435.999999999996</v>
      </c>
      <c r="F23" s="7">
        <f t="shared" si="7"/>
        <v>18806.700000000008</v>
      </c>
      <c r="G23" s="7">
        <f t="shared" si="7"/>
        <v>26309.700000000004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19255.100000000013</v>
      </c>
      <c r="D25" s="7">
        <f t="shared" ref="D25:G25" si="8" xml:space="preserve"> D23+D24</f>
        <v>22554.200000000008</v>
      </c>
      <c r="E25" s="7">
        <f t="shared" si="8"/>
        <v>21435.999999999996</v>
      </c>
      <c r="F25" s="7">
        <f t="shared" si="8"/>
        <v>18806.700000000008</v>
      </c>
      <c r="G25" s="7">
        <f t="shared" si="8"/>
        <v>26309.700000000004</v>
      </c>
    </row>
    <row r="26" spans="2:7" ht="18.75" x14ac:dyDescent="0.25">
      <c r="B26" s="8" t="s">
        <v>79</v>
      </c>
      <c r="C26" s="4">
        <v>3286.2</v>
      </c>
      <c r="D26" s="4">
        <v>2973.2</v>
      </c>
      <c r="E26" s="5">
        <v>1425.2</v>
      </c>
      <c r="F26" s="5">
        <v>931.9</v>
      </c>
      <c r="G26" s="5">
        <v>817.7</v>
      </c>
    </row>
    <row r="27" spans="2:7" ht="18.75" x14ac:dyDescent="0.25">
      <c r="B27" s="9" t="s">
        <v>116</v>
      </c>
      <c r="C27" s="7">
        <f xml:space="preserve"> C25-C26</f>
        <v>15968.900000000012</v>
      </c>
      <c r="D27" s="7">
        <f t="shared" ref="D27:G27" si="9" xml:space="preserve"> D25-D26</f>
        <v>19581.000000000007</v>
      </c>
      <c r="E27" s="7">
        <f t="shared" si="9"/>
        <v>20010.799999999996</v>
      </c>
      <c r="F27" s="7">
        <f t="shared" si="9"/>
        <v>17874.800000000007</v>
      </c>
      <c r="G27" s="7">
        <f t="shared" si="9"/>
        <v>25492.000000000004</v>
      </c>
    </row>
    <row r="28" spans="2:7" ht="18.75" x14ac:dyDescent="0.25">
      <c r="B28" s="8" t="s">
        <v>88</v>
      </c>
      <c r="C28" s="4">
        <v>2265.6</v>
      </c>
      <c r="D28" s="5">
        <v>2416.6</v>
      </c>
      <c r="E28" s="5">
        <v>2416.6</v>
      </c>
      <c r="F28" s="5">
        <v>1812.5</v>
      </c>
      <c r="G28" s="5">
        <v>0</v>
      </c>
    </row>
    <row r="29" spans="2:7" ht="18.75" x14ac:dyDescent="0.25">
      <c r="B29" s="8" t="s">
        <v>89</v>
      </c>
      <c r="C29" s="4">
        <v>461.2</v>
      </c>
      <c r="D29" s="4">
        <v>496.8</v>
      </c>
      <c r="E29" s="4">
        <v>496.8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13242.100000000011</v>
      </c>
      <c r="D30" s="7">
        <f t="shared" ref="D30:G30" si="10" xml:space="preserve"> D27-D28-D29</f>
        <v>16667.600000000009</v>
      </c>
      <c r="E30" s="7">
        <f t="shared" si="10"/>
        <v>17097.399999999998</v>
      </c>
      <c r="F30" s="7">
        <f t="shared" si="10"/>
        <v>16062.300000000007</v>
      </c>
      <c r="G30" s="7">
        <f t="shared" si="10"/>
        <v>25492.000000000004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261</v>
      </c>
      <c r="D34" s="4">
        <v>253</v>
      </c>
      <c r="E34" s="4">
        <v>188</v>
      </c>
      <c r="F34" s="4">
        <v>145</v>
      </c>
      <c r="G34" s="4">
        <v>128</v>
      </c>
    </row>
    <row r="35" spans="2:7" ht="18.75" x14ac:dyDescent="0.25">
      <c r="B35" s="8" t="s">
        <v>118</v>
      </c>
      <c r="C35" s="4">
        <f>C27/C34</f>
        <v>61.183524904214607</v>
      </c>
      <c r="D35" s="4">
        <f t="shared" ref="D35:G35" si="11">D27/D34</f>
        <v>77.395256916996075</v>
      </c>
      <c r="E35" s="4">
        <f t="shared" si="11"/>
        <v>106.44042553191487</v>
      </c>
      <c r="F35" s="4">
        <f t="shared" si="11"/>
        <v>123.27448275862074</v>
      </c>
      <c r="G35" s="4">
        <f t="shared" si="11"/>
        <v>199.15625000000003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90016-D7C3-4CC1-B68C-7CE39CE4805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44943.199999999997</v>
      </c>
      <c r="D6" s="16">
        <f>'Income Statement'!D11</f>
        <v>45025.7</v>
      </c>
      <c r="E6" s="16">
        <f>'Income Statement'!E11</f>
        <v>34634.800000000003</v>
      </c>
      <c r="F6" s="16">
        <f>'Income Statement'!F11</f>
        <v>33296.400000000001</v>
      </c>
      <c r="G6" s="16">
        <f>'Income Statement'!G11</f>
        <v>39739.599999999999</v>
      </c>
    </row>
    <row r="7" spans="2:7" ht="18.75" x14ac:dyDescent="0.25">
      <c r="B7" s="15" t="str">
        <f>'Balance Sheet'!B19</f>
        <v>Total Current Liabilities</v>
      </c>
      <c r="C7" s="16">
        <f>'Balance Sheet'!C19</f>
        <v>16950.099999999999</v>
      </c>
      <c r="D7" s="16">
        <f>'Balance Sheet'!D19</f>
        <v>16087.5</v>
      </c>
      <c r="E7" s="16">
        <f>'Balance Sheet'!E19</f>
        <v>13426.300000000001</v>
      </c>
      <c r="F7" s="16">
        <f>'Balance Sheet'!F19</f>
        <v>17845.099999999999</v>
      </c>
      <c r="G7" s="16">
        <f>'Balance Sheet'!G19</f>
        <v>18940.099999999999</v>
      </c>
    </row>
    <row r="8" spans="2:7" ht="18.75" x14ac:dyDescent="0.25">
      <c r="B8" s="17" t="s">
        <v>194</v>
      </c>
      <c r="C8" s="17">
        <f>ROUND(365/C6*C7, 2)</f>
        <v>137.66</v>
      </c>
      <c r="D8" s="17">
        <f t="shared" ref="D8:G8" si="0">ROUND(365/D6*D7, 2)</f>
        <v>130.41</v>
      </c>
      <c r="E8" s="17">
        <f t="shared" si="0"/>
        <v>141.49</v>
      </c>
      <c r="F8" s="17">
        <f t="shared" si="0"/>
        <v>195.62</v>
      </c>
      <c r="G8" s="17">
        <f t="shared" si="0"/>
        <v>173.96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E30F32-9176-432D-B557-CF749949BDEA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'Balance Sheet'!B37</f>
        <v>Trade Receivables</v>
      </c>
      <c r="C7" s="16">
        <f>'Balance Sheet'!C37</f>
        <v>1465.4</v>
      </c>
      <c r="D7" s="16">
        <f>'Balance Sheet'!D37</f>
        <v>2312.8000000000002</v>
      </c>
      <c r="E7" s="16">
        <f>'Balance Sheet'!E37</f>
        <v>1977.7</v>
      </c>
      <c r="F7" s="16">
        <f>'Balance Sheet'!F37</f>
        <v>1279.9000000000001</v>
      </c>
      <c r="G7" s="16">
        <f>'Balance Sheet'!G37</f>
        <v>2034.5</v>
      </c>
    </row>
    <row r="8" spans="2:7" ht="18.75" x14ac:dyDescent="0.25">
      <c r="B8" s="17" t="s">
        <v>196</v>
      </c>
      <c r="C8" s="17">
        <f>ROUND(365/C6*C7, 2)</f>
        <v>6.66</v>
      </c>
      <c r="D8" s="17">
        <f t="shared" ref="D8:G8" si="0">ROUND(365/D6*D7, 2)</f>
        <v>10.17</v>
      </c>
      <c r="E8" s="17">
        <f t="shared" si="0"/>
        <v>10.07</v>
      </c>
      <c r="F8" s="17">
        <f t="shared" si="0"/>
        <v>7.02</v>
      </c>
      <c r="G8" s="17">
        <f t="shared" si="0"/>
        <v>8.86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79721-8BAE-4A2E-AE4C-223FE8419121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'Balance Sheet'!B36</f>
        <v>Inventories</v>
      </c>
      <c r="C7" s="16">
        <f>'Balance Sheet'!C36</f>
        <v>3160.2</v>
      </c>
      <c r="D7" s="16">
        <f>'Balance Sheet'!D36</f>
        <v>3322.6</v>
      </c>
      <c r="E7" s="16">
        <f>'Balance Sheet'!E36</f>
        <v>3213.9</v>
      </c>
      <c r="F7" s="16">
        <f>'Balance Sheet'!F36</f>
        <v>3049</v>
      </c>
      <c r="G7" s="16">
        <f>'Balance Sheet'!G36</f>
        <v>3532.3</v>
      </c>
    </row>
    <row r="8" spans="2:7" ht="18.75" x14ac:dyDescent="0.25">
      <c r="B8" s="15" t="s">
        <v>192</v>
      </c>
      <c r="C8" s="16">
        <f>ROUND(365/C6*C7, 2)</f>
        <v>14.36</v>
      </c>
      <c r="D8" s="16">
        <f t="shared" ref="D8:G8" si="0">ROUND(365/D6*D7, 2)</f>
        <v>14.6</v>
      </c>
      <c r="E8" s="16">
        <f t="shared" si="0"/>
        <v>16.36</v>
      </c>
      <c r="F8" s="16">
        <f t="shared" si="0"/>
        <v>16.72</v>
      </c>
      <c r="G8" s="16">
        <f t="shared" si="0"/>
        <v>15.39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44943.199999999997</v>
      </c>
      <c r="D9" s="16">
        <f>'Income Statement'!D11</f>
        <v>45025.7</v>
      </c>
      <c r="E9" s="16">
        <f>'Income Statement'!E11</f>
        <v>34634.800000000003</v>
      </c>
      <c r="F9" s="16">
        <f>'Income Statement'!F11</f>
        <v>33296.400000000001</v>
      </c>
      <c r="G9" s="16">
        <f>'Income Statement'!G11</f>
        <v>39739.599999999999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16950.099999999999</v>
      </c>
      <c r="D10" s="16">
        <f>'Balance Sheet'!D19</f>
        <v>16087.5</v>
      </c>
      <c r="E10" s="16">
        <f>'Balance Sheet'!E19</f>
        <v>13426.300000000001</v>
      </c>
      <c r="F10" s="16">
        <f>'Balance Sheet'!F19</f>
        <v>17845.099999999999</v>
      </c>
      <c r="G10" s="16">
        <f>'Balance Sheet'!G19</f>
        <v>18940.099999999999</v>
      </c>
    </row>
    <row r="11" spans="2:7" ht="18.75" x14ac:dyDescent="0.25">
      <c r="B11" s="15" t="s">
        <v>194</v>
      </c>
      <c r="C11" s="16">
        <f>ROUND(365/C9*C10, 2)</f>
        <v>137.66</v>
      </c>
      <c r="D11" s="16">
        <f t="shared" ref="D11:G11" si="1">ROUND(365/D9*D10, 2)</f>
        <v>130.41</v>
      </c>
      <c r="E11" s="16">
        <f t="shared" si="1"/>
        <v>141.49</v>
      </c>
      <c r="F11" s="16">
        <f t="shared" si="1"/>
        <v>195.62</v>
      </c>
      <c r="G11" s="16">
        <f t="shared" si="1"/>
        <v>173.96</v>
      </c>
    </row>
    <row r="12" spans="2:7" ht="18.75" x14ac:dyDescent="0.25">
      <c r="B12" s="17" t="s">
        <v>198</v>
      </c>
      <c r="C12" s="28">
        <f>ROUND(C11+C8, 2)</f>
        <v>152.02000000000001</v>
      </c>
      <c r="D12" s="28">
        <f t="shared" ref="D12:G12" si="2">ROUND(D11+D8, 2)</f>
        <v>145.01</v>
      </c>
      <c r="E12" s="28">
        <f t="shared" si="2"/>
        <v>157.85</v>
      </c>
      <c r="F12" s="28">
        <f t="shared" si="2"/>
        <v>212.34</v>
      </c>
      <c r="G12" s="28">
        <f t="shared" si="2"/>
        <v>189.35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05117-1AC2-436F-BA24-C6757CDBB85C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80348.800000000003</v>
      </c>
      <c r="D6" s="16">
        <f>'Income Statement'!D5</f>
        <v>83038.5</v>
      </c>
      <c r="E6" s="16">
        <f>'Income Statement'!E5</f>
        <v>71704.800000000003</v>
      </c>
      <c r="F6" s="16">
        <f>'Income Statement'!F5</f>
        <v>66571.8</v>
      </c>
      <c r="G6" s="16">
        <f>'Income Statement'!G5</f>
        <v>83799.8</v>
      </c>
    </row>
    <row r="7" spans="2:7" ht="18.75" x14ac:dyDescent="0.25">
      <c r="B7" s="15" t="str">
        <f>'Balance Sheet'!B36</f>
        <v>Inventories</v>
      </c>
      <c r="C7" s="16">
        <f>'Balance Sheet'!C36</f>
        <v>3160.2</v>
      </c>
      <c r="D7" s="16">
        <f>'Balance Sheet'!D36</f>
        <v>3322.6</v>
      </c>
      <c r="E7" s="16">
        <f>'Balance Sheet'!E36</f>
        <v>3213.9</v>
      </c>
      <c r="F7" s="16">
        <f>'Balance Sheet'!F36</f>
        <v>3049</v>
      </c>
      <c r="G7" s="16">
        <f>'Balance Sheet'!G36</f>
        <v>3532.3</v>
      </c>
    </row>
    <row r="8" spans="2:7" ht="18.75" x14ac:dyDescent="0.25">
      <c r="B8" s="15" t="s">
        <v>192</v>
      </c>
      <c r="C8" s="16">
        <f>ROUND(365/C6*C7, 2)</f>
        <v>14.36</v>
      </c>
      <c r="D8" s="16">
        <f t="shared" ref="D8:G8" si="0">ROUND(365/D6*D7, 2)</f>
        <v>14.6</v>
      </c>
      <c r="E8" s="16">
        <f t="shared" si="0"/>
        <v>16.36</v>
      </c>
      <c r="F8" s="16">
        <f t="shared" si="0"/>
        <v>16.72</v>
      </c>
      <c r="G8" s="16">
        <f t="shared" si="0"/>
        <v>15.39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44943.199999999997</v>
      </c>
      <c r="D9" s="16">
        <f>'Income Statement'!D11</f>
        <v>45025.7</v>
      </c>
      <c r="E9" s="16">
        <f>'Income Statement'!E11</f>
        <v>34634.800000000003</v>
      </c>
      <c r="F9" s="16">
        <f>'Income Statement'!F11</f>
        <v>33296.400000000001</v>
      </c>
      <c r="G9" s="16">
        <f>'Income Statement'!G11</f>
        <v>39739.599999999999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16950.099999999999</v>
      </c>
      <c r="D10" s="16">
        <f>'Balance Sheet'!D19</f>
        <v>16087.5</v>
      </c>
      <c r="E10" s="16">
        <f>'Balance Sheet'!E19</f>
        <v>13426.300000000001</v>
      </c>
      <c r="F10" s="16">
        <f>'Balance Sheet'!F19</f>
        <v>17845.099999999999</v>
      </c>
      <c r="G10" s="16">
        <f>'Balance Sheet'!G19</f>
        <v>18940.099999999999</v>
      </c>
    </row>
    <row r="11" spans="2:7" ht="18.75" x14ac:dyDescent="0.25">
      <c r="B11" s="15" t="s">
        <v>194</v>
      </c>
      <c r="C11" s="16">
        <f>ROUND(365/C9*C10, 2)</f>
        <v>137.66</v>
      </c>
      <c r="D11" s="16">
        <f t="shared" ref="D11:G11" si="1">ROUND(365/D9*D10, 2)</f>
        <v>130.41</v>
      </c>
      <c r="E11" s="16">
        <f t="shared" si="1"/>
        <v>141.49</v>
      </c>
      <c r="F11" s="16">
        <f t="shared" si="1"/>
        <v>195.62</v>
      </c>
      <c r="G11" s="16">
        <f t="shared" si="1"/>
        <v>173.96</v>
      </c>
    </row>
    <row r="12" spans="2:7" ht="18.75" x14ac:dyDescent="0.25">
      <c r="B12" s="15" t="s">
        <v>200</v>
      </c>
      <c r="C12" s="16">
        <f>ROUND(C11+C8, 2)</f>
        <v>152.02000000000001</v>
      </c>
      <c r="D12" s="16">
        <f t="shared" ref="D12:G12" si="2">ROUND(D11+D8, 2)</f>
        <v>145.01</v>
      </c>
      <c r="E12" s="16">
        <f t="shared" si="2"/>
        <v>157.85</v>
      </c>
      <c r="F12" s="16">
        <f t="shared" si="2"/>
        <v>212.34</v>
      </c>
      <c r="G12" s="16">
        <f t="shared" si="2"/>
        <v>189.35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44943.199999999997</v>
      </c>
      <c r="D13" s="16">
        <f>'Income Statement'!D11</f>
        <v>45025.7</v>
      </c>
      <c r="E13" s="16">
        <f>'Income Statement'!E11</f>
        <v>34634.800000000003</v>
      </c>
      <c r="F13" s="16">
        <f>'Income Statement'!F11</f>
        <v>33296.400000000001</v>
      </c>
      <c r="G13" s="16">
        <f>'Income Statement'!G11</f>
        <v>39739.599999999999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16950.099999999999</v>
      </c>
      <c r="D14" s="16">
        <f>'Balance Sheet'!D19</f>
        <v>16087.5</v>
      </c>
      <c r="E14" s="16">
        <f>'Balance Sheet'!E19</f>
        <v>13426.300000000001</v>
      </c>
      <c r="F14" s="16">
        <f>'Balance Sheet'!F19</f>
        <v>17845.099999999999</v>
      </c>
      <c r="G14" s="16">
        <f>'Balance Sheet'!G19</f>
        <v>18940.099999999999</v>
      </c>
    </row>
    <row r="15" spans="2:7" ht="18.75" x14ac:dyDescent="0.25">
      <c r="B15" s="15" t="s">
        <v>194</v>
      </c>
      <c r="C15" s="16">
        <f>ROUND(365/C13*C14, 2)</f>
        <v>137.66</v>
      </c>
      <c r="D15" s="16">
        <f t="shared" ref="D15:G15" si="3">ROUND(365/D13*D14, 2)</f>
        <v>130.41</v>
      </c>
      <c r="E15" s="16">
        <f t="shared" si="3"/>
        <v>141.49</v>
      </c>
      <c r="F15" s="16">
        <f t="shared" si="3"/>
        <v>195.62</v>
      </c>
      <c r="G15" s="16">
        <f t="shared" si="3"/>
        <v>173.96</v>
      </c>
    </row>
    <row r="16" spans="2:7" ht="18.75" x14ac:dyDescent="0.25">
      <c r="B16" s="17" t="s">
        <v>201</v>
      </c>
      <c r="C16" s="28">
        <f>ROUND(C15-C12, 2)</f>
        <v>-14.36</v>
      </c>
      <c r="D16" s="28">
        <f t="shared" ref="D16:G16" si="4">ROUND(D15-D12, 2)</f>
        <v>-14.6</v>
      </c>
      <c r="E16" s="28">
        <f t="shared" si="4"/>
        <v>-16.36</v>
      </c>
      <c r="F16" s="28">
        <f t="shared" si="4"/>
        <v>-16.72</v>
      </c>
      <c r="G16" s="28">
        <f t="shared" si="4"/>
        <v>-15.39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1D64-8A65-43E9-9EE8-0CA0C4A4BA3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5" width="13.140625" bestFit="1" customWidth="1"/>
    <col min="6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42559.4</v>
      </c>
      <c r="D5" s="16">
        <f>'Balance Sheet'!D9</f>
        <v>59227.000000000015</v>
      </c>
      <c r="E5" s="16">
        <f>'Balance Sheet'!E9</f>
        <v>76324.400000000009</v>
      </c>
      <c r="F5" s="16">
        <f>'Balance Sheet'!F9</f>
        <v>92386.700000000012</v>
      </c>
      <c r="G5" s="16">
        <f>'Balance Sheet'!G9</f>
        <v>117878.70000000001</v>
      </c>
    </row>
    <row r="6" spans="2:7" ht="18.75" x14ac:dyDescent="0.25">
      <c r="B6" s="15" t="str">
        <f>'Balance Sheet'!B21</f>
        <v>Total Liabilities</v>
      </c>
      <c r="C6" s="16">
        <f>'Balance Sheet'!C21</f>
        <v>60248.4</v>
      </c>
      <c r="D6" s="16">
        <f>'Balance Sheet'!D21</f>
        <v>76103.60000000002</v>
      </c>
      <c r="E6" s="16">
        <f>'Balance Sheet'!E21</f>
        <v>90539.1</v>
      </c>
      <c r="F6" s="16">
        <f>'Balance Sheet'!F21</f>
        <v>111168.80000000002</v>
      </c>
      <c r="G6" s="16">
        <f>'Balance Sheet'!G21</f>
        <v>137200.70000000001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ACDCE-6ED9-433B-93D0-A12A1E6B627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22360.700000000012</v>
      </c>
      <c r="D5" s="16">
        <f>'Income Statement'!D17</f>
        <v>25650.900000000009</v>
      </c>
      <c r="E5" s="16">
        <f>'Income Statement'!E17</f>
        <v>25098.6</v>
      </c>
      <c r="F5" s="16">
        <f>'Income Statement'!F17</f>
        <v>21942.600000000006</v>
      </c>
      <c r="G5" s="16">
        <f>'Income Statement'!G17</f>
        <v>29225.300000000003</v>
      </c>
    </row>
    <row r="6" spans="2:7" ht="18.75" x14ac:dyDescent="0.25">
      <c r="B6" s="15" t="str">
        <f>'Income Statement'!B19</f>
        <v>PBIT</v>
      </c>
      <c r="C6" s="16">
        <f>'Income Statement'!C19</f>
        <v>19600.900000000012</v>
      </c>
      <c r="D6" s="16">
        <f>'Income Statement'!D19</f>
        <v>22630.100000000009</v>
      </c>
      <c r="E6" s="16">
        <f>'Income Statement'!E19</f>
        <v>21570.199999999997</v>
      </c>
      <c r="F6" s="16">
        <f>'Income Statement'!F19</f>
        <v>18908.500000000007</v>
      </c>
      <c r="G6" s="16">
        <f>'Income Statement'!G19</f>
        <v>26436.300000000003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205035-48DD-4578-88D1-81B2879E659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8604.4</v>
      </c>
      <c r="D5" s="16">
        <f>'Balance Sheet'!D39</f>
        <v>24576.600000000013</v>
      </c>
      <c r="E5" s="16">
        <f>'Balance Sheet'!E39</f>
        <v>42511.600000000006</v>
      </c>
      <c r="F5" s="16">
        <f>'Balance Sheet'!F39</f>
        <v>61619.300000000017</v>
      </c>
      <c r="G5" s="16">
        <f>'Balance Sheet'!G39</f>
        <v>90854.6</v>
      </c>
    </row>
    <row r="6" spans="2:7" ht="18.75" x14ac:dyDescent="0.25">
      <c r="B6" s="15" t="str">
        <f>'Balance Sheet'!B19</f>
        <v>Total Current Liabilities</v>
      </c>
      <c r="C6" s="16">
        <f>'Balance Sheet'!C19</f>
        <v>16950.099999999999</v>
      </c>
      <c r="D6" s="16">
        <f>'Balance Sheet'!D19</f>
        <v>16087.5</v>
      </c>
      <c r="E6" s="16">
        <f>'Balance Sheet'!E19</f>
        <v>13426.300000000001</v>
      </c>
      <c r="F6" s="16">
        <f>'Balance Sheet'!F19</f>
        <v>17845.099999999999</v>
      </c>
      <c r="G6" s="16">
        <f>'Balance Sheet'!G19</f>
        <v>18940.099999999999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267BF-5636-43E8-8C0D-3506559C999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26.5</v>
      </c>
      <c r="D5" s="16">
        <f>'Balance Sheet'!D14</f>
        <v>39.5</v>
      </c>
      <c r="E5" s="16">
        <f>'Balance Sheet'!E14</f>
        <v>51.6</v>
      </c>
      <c r="F5" s="16">
        <f>'Balance Sheet'!F14</f>
        <v>44.7</v>
      </c>
      <c r="G5" s="16">
        <f>'Balance Sheet'!G14</f>
        <v>84.4</v>
      </c>
    </row>
    <row r="6" spans="2:7" ht="18.75" x14ac:dyDescent="0.25">
      <c r="B6" s="15" t="str">
        <f>'Balance Sheet'!B15</f>
        <v>Short Term Provisions</v>
      </c>
      <c r="C6" s="16">
        <f>'Balance Sheet'!C15</f>
        <v>560.9</v>
      </c>
      <c r="D6" s="16">
        <f>'Balance Sheet'!D15</f>
        <v>625.4</v>
      </c>
      <c r="E6" s="16">
        <f>'Balance Sheet'!E15</f>
        <v>680.7</v>
      </c>
      <c r="F6" s="16">
        <f>'Balance Sheet'!F15</f>
        <v>742.8</v>
      </c>
      <c r="G6" s="16">
        <f>'Balance Sheet'!G15</f>
        <v>861.3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2D09D-80AA-4578-BD78-7DEBF0BAF72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44943.199999999997</v>
      </c>
      <c r="D5" s="16">
        <f>'Income Statement'!D11</f>
        <v>45025.7</v>
      </c>
      <c r="E5" s="16">
        <f>'Income Statement'!E11</f>
        <v>34634.800000000003</v>
      </c>
      <c r="F5" s="16">
        <f>'Income Statement'!F11</f>
        <v>33296.400000000001</v>
      </c>
      <c r="G5" s="16">
        <f>'Income Statement'!G11</f>
        <v>39739.599999999999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0</v>
      </c>
      <c r="E6" s="16">
        <f>'Income Statement'!E12</f>
        <v>0</v>
      </c>
      <c r="F6" s="16">
        <f>'Income Statement'!F12</f>
        <v>0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8AAFC-C778-4282-9EB4-2CD085E07BD1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80348.800000000003</v>
      </c>
      <c r="D5" s="16">
        <f>'Income Statement'!D5</f>
        <v>83038.5</v>
      </c>
      <c r="E5" s="16">
        <f>'Income Statement'!E5</f>
        <v>71704.800000000003</v>
      </c>
      <c r="F5" s="16">
        <f>'Income Statement'!F5</f>
        <v>66571.8</v>
      </c>
      <c r="G5" s="16">
        <f>'Income Statement'!G5</f>
        <v>83799.8</v>
      </c>
    </row>
    <row r="6" spans="2:7" ht="18.75" x14ac:dyDescent="0.25">
      <c r="B6" s="15" t="str">
        <f>'Income Statement'!B10</f>
        <v>Total Income</v>
      </c>
      <c r="C6" s="16">
        <f>'Income Statement'!C10</f>
        <v>80162.900000000009</v>
      </c>
      <c r="D6" s="16">
        <f>'Income Statement'!D10</f>
        <v>85600.1</v>
      </c>
      <c r="E6" s="16">
        <f>'Income Statement'!E10</f>
        <v>75039.199999999997</v>
      </c>
      <c r="F6" s="16">
        <f>'Income Statement'!F10</f>
        <v>69508.100000000006</v>
      </c>
      <c r="G6" s="16">
        <f>'Income Statement'!G10</f>
        <v>85544.5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C4EC99-F82B-4305-A24D-89B39B92D5D2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5" width="15.42578125" bestFit="1" customWidth="1"/>
    <col min="6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4">
        <v>151</v>
      </c>
      <c r="D5" s="4">
        <v>151</v>
      </c>
      <c r="E5" s="4">
        <v>151</v>
      </c>
      <c r="F5" s="4">
        <v>151</v>
      </c>
      <c r="G5" s="4">
        <v>151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151</v>
      </c>
      <c r="D7" s="6">
        <f t="shared" ref="D7:G7" si="0">D5+D6</f>
        <v>151</v>
      </c>
      <c r="E7" s="6">
        <f t="shared" si="0"/>
        <v>151</v>
      </c>
      <c r="F7" s="6">
        <f t="shared" si="0"/>
        <v>151</v>
      </c>
      <c r="G7" s="6">
        <f t="shared" si="0"/>
        <v>151</v>
      </c>
    </row>
    <row r="8" spans="2:7" ht="18.75" x14ac:dyDescent="0.25">
      <c r="B8" s="8" t="s">
        <v>7</v>
      </c>
      <c r="C8" s="5">
        <v>42408.4</v>
      </c>
      <c r="D8" s="5">
        <f>'Income Statement'!D30+C8</f>
        <v>59076.000000000015</v>
      </c>
      <c r="E8" s="5">
        <f>'Income Statement'!E30+D8</f>
        <v>76173.400000000009</v>
      </c>
      <c r="F8" s="5">
        <f>'Income Statement'!F30+E8</f>
        <v>92235.700000000012</v>
      </c>
      <c r="G8" s="5">
        <f>'Income Statement'!G30+F8</f>
        <v>117727.70000000001</v>
      </c>
    </row>
    <row r="9" spans="2:7" ht="18.75" x14ac:dyDescent="0.25">
      <c r="B9" s="9" t="s">
        <v>122</v>
      </c>
      <c r="C9" s="7">
        <f>C7+C8</f>
        <v>42559.4</v>
      </c>
      <c r="D9" s="7">
        <f t="shared" ref="D9:G9" si="1">D7+D8</f>
        <v>59227.000000000015</v>
      </c>
      <c r="E9" s="7">
        <f t="shared" si="1"/>
        <v>76324.400000000009</v>
      </c>
      <c r="F9" s="7">
        <f t="shared" si="1"/>
        <v>92386.700000000012</v>
      </c>
      <c r="G9" s="7">
        <f t="shared" si="1"/>
        <v>117878.70000000001</v>
      </c>
    </row>
    <row r="10" spans="2:7" ht="18.75" x14ac:dyDescent="0.25">
      <c r="B10" s="8" t="s">
        <v>12</v>
      </c>
      <c r="C10" s="4">
        <v>10</v>
      </c>
      <c r="D10" s="4">
        <v>8</v>
      </c>
      <c r="E10" s="4">
        <v>5.4</v>
      </c>
      <c r="F10" s="4">
        <v>2.8</v>
      </c>
      <c r="G10" s="4">
        <v>0</v>
      </c>
    </row>
    <row r="11" spans="2:7" ht="18.75" x14ac:dyDescent="0.25">
      <c r="B11" s="8" t="s">
        <v>13</v>
      </c>
      <c r="C11" s="4">
        <v>602</v>
      </c>
      <c r="D11" s="4">
        <v>613.9</v>
      </c>
      <c r="E11" s="4">
        <v>657.5</v>
      </c>
      <c r="F11" s="4">
        <v>445.4</v>
      </c>
      <c r="G11" s="4">
        <v>0</v>
      </c>
    </row>
    <row r="12" spans="2:7" ht="18.75" x14ac:dyDescent="0.25">
      <c r="B12" s="8" t="s">
        <v>18</v>
      </c>
      <c r="C12" s="4">
        <v>110.8</v>
      </c>
      <c r="D12" s="4">
        <v>149.6</v>
      </c>
      <c r="E12" s="4">
        <v>106.3</v>
      </c>
      <c r="F12" s="4">
        <v>488.8</v>
      </c>
      <c r="G12" s="4">
        <v>381.9</v>
      </c>
    </row>
    <row r="13" spans="2:7" ht="18.75" x14ac:dyDescent="0.25">
      <c r="B13" s="9" t="s">
        <v>123</v>
      </c>
      <c r="C13" s="6">
        <f>C10+C11+C12</f>
        <v>722.8</v>
      </c>
      <c r="D13" s="6">
        <f t="shared" ref="D13:G13" si="2">D10+D11+D12</f>
        <v>771.5</v>
      </c>
      <c r="E13" s="6">
        <f t="shared" si="2"/>
        <v>769.19999999999993</v>
      </c>
      <c r="F13" s="6">
        <f t="shared" si="2"/>
        <v>937</v>
      </c>
      <c r="G13" s="6">
        <f t="shared" si="2"/>
        <v>381.9</v>
      </c>
    </row>
    <row r="14" spans="2:7" ht="18.75" x14ac:dyDescent="0.25">
      <c r="B14" s="8" t="s">
        <v>15</v>
      </c>
      <c r="C14" s="4">
        <v>26.5</v>
      </c>
      <c r="D14" s="4">
        <v>39.5</v>
      </c>
      <c r="E14" s="4">
        <v>51.6</v>
      </c>
      <c r="F14" s="4">
        <v>44.7</v>
      </c>
      <c r="G14" s="4">
        <v>84.4</v>
      </c>
    </row>
    <row r="15" spans="2:7" ht="18.75" x14ac:dyDescent="0.25">
      <c r="B15" s="8" t="s">
        <v>21</v>
      </c>
      <c r="C15" s="4">
        <v>560.9</v>
      </c>
      <c r="D15" s="4">
        <v>625.4</v>
      </c>
      <c r="E15" s="4">
        <v>680.7</v>
      </c>
      <c r="F15" s="4">
        <v>742.8</v>
      </c>
      <c r="G15" s="4">
        <v>861.3</v>
      </c>
    </row>
    <row r="16" spans="2:7" ht="18.75" x14ac:dyDescent="0.25">
      <c r="B16" s="8" t="s">
        <v>14</v>
      </c>
      <c r="C16" s="5">
        <v>1585.9</v>
      </c>
      <c r="D16" s="5">
        <v>2037.1</v>
      </c>
      <c r="E16" s="5">
        <v>2175.6</v>
      </c>
      <c r="F16" s="5">
        <v>2168.6999999999998</v>
      </c>
      <c r="G16" s="5">
        <v>2214.1</v>
      </c>
    </row>
    <row r="17" spans="2:7" ht="18.75" x14ac:dyDescent="0.25">
      <c r="B17" s="8" t="s">
        <v>19</v>
      </c>
      <c r="C17" s="5">
        <v>10499.3</v>
      </c>
      <c r="D17" s="5">
        <v>9637.7000000000007</v>
      </c>
      <c r="E17" s="5">
        <v>7498.8</v>
      </c>
      <c r="F17" s="5">
        <v>10168.1</v>
      </c>
      <c r="G17" s="5">
        <v>9765.2000000000007</v>
      </c>
    </row>
    <row r="18" spans="2:7" ht="18.75" x14ac:dyDescent="0.25">
      <c r="B18" s="8" t="s">
        <v>20</v>
      </c>
      <c r="C18" s="5">
        <v>4277.5</v>
      </c>
      <c r="D18" s="5">
        <v>3747.8</v>
      </c>
      <c r="E18" s="5">
        <v>3019.6</v>
      </c>
      <c r="F18" s="5">
        <v>4720.8</v>
      </c>
      <c r="G18" s="5">
        <v>6015.1</v>
      </c>
    </row>
    <row r="19" spans="2:7" ht="18.75" x14ac:dyDescent="0.25">
      <c r="B19" s="9" t="s">
        <v>22</v>
      </c>
      <c r="C19" s="7">
        <f>C14+C15+C16+C17+C18</f>
        <v>16950.099999999999</v>
      </c>
      <c r="D19" s="7">
        <f t="shared" ref="D19:G19" si="3">D14+D15+D16+D17+D18</f>
        <v>16087.5</v>
      </c>
      <c r="E19" s="7">
        <f t="shared" si="3"/>
        <v>13426.300000000001</v>
      </c>
      <c r="F19" s="7">
        <f t="shared" si="3"/>
        <v>17845.099999999999</v>
      </c>
      <c r="G19" s="7">
        <f t="shared" si="3"/>
        <v>18940.099999999999</v>
      </c>
    </row>
    <row r="20" spans="2:7" ht="18.75" x14ac:dyDescent="0.25">
      <c r="B20" s="8" t="s">
        <v>10</v>
      </c>
      <c r="C20" s="4">
        <v>16.100000000000001</v>
      </c>
      <c r="D20" s="4">
        <v>17.600000000000001</v>
      </c>
      <c r="E20" s="4">
        <v>19.2</v>
      </c>
      <c r="F20" s="4">
        <v>0</v>
      </c>
      <c r="G20" s="4">
        <v>0</v>
      </c>
    </row>
    <row r="21" spans="2:7" ht="18.75" x14ac:dyDescent="0.25">
      <c r="B21" s="9" t="s">
        <v>124</v>
      </c>
      <c r="C21" s="7">
        <f>C9+C13+C19+C20</f>
        <v>60248.4</v>
      </c>
      <c r="D21" s="7">
        <f t="shared" ref="D21:G21" si="4">D9+D13+D19+D20</f>
        <v>76103.60000000002</v>
      </c>
      <c r="E21" s="7">
        <f t="shared" si="4"/>
        <v>90539.1</v>
      </c>
      <c r="F21" s="7">
        <f t="shared" si="4"/>
        <v>111168.80000000002</v>
      </c>
      <c r="G21" s="7">
        <f t="shared" si="4"/>
        <v>137200.70000000001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13077.1</v>
      </c>
      <c r="D23" s="5">
        <v>14986.2</v>
      </c>
      <c r="E23" s="5">
        <v>15408.6</v>
      </c>
      <c r="F23" s="5">
        <v>14764.5</v>
      </c>
      <c r="G23" s="5">
        <v>16683.7</v>
      </c>
    </row>
    <row r="24" spans="2:7" ht="18.75" x14ac:dyDescent="0.25">
      <c r="B24" s="8" t="s">
        <v>27</v>
      </c>
      <c r="C24" s="4">
        <v>311.7</v>
      </c>
      <c r="D24" s="4">
        <v>451.1</v>
      </c>
      <c r="E24" s="4">
        <v>335.8</v>
      </c>
      <c r="F24" s="4">
        <v>224.2</v>
      </c>
      <c r="G24" s="4">
        <v>0</v>
      </c>
    </row>
    <row r="25" spans="2:7" ht="18.75" x14ac:dyDescent="0.25">
      <c r="B25" s="8" t="s">
        <v>125</v>
      </c>
      <c r="C25" s="4"/>
      <c r="D25" s="5">
        <f>'Income Statement'!D18</f>
        <v>3020.8</v>
      </c>
      <c r="E25" s="5">
        <f>'Income Statement'!E18+D25</f>
        <v>6549.2000000000007</v>
      </c>
      <c r="F25" s="5">
        <f>'Income Statement'!F18+E25</f>
        <v>9583.3000000000011</v>
      </c>
      <c r="G25" s="5">
        <f>'Income Statement'!G18+F25</f>
        <v>12372.300000000001</v>
      </c>
    </row>
    <row r="26" spans="2:7" ht="18.75" x14ac:dyDescent="0.25">
      <c r="B26" s="9" t="s">
        <v>126</v>
      </c>
      <c r="C26" s="7">
        <f>C23+C24-C25</f>
        <v>13388.800000000001</v>
      </c>
      <c r="D26" s="7">
        <f t="shared" ref="D26:G26" si="5">D23+D24-D25</f>
        <v>12416.5</v>
      </c>
      <c r="E26" s="7">
        <f t="shared" si="5"/>
        <v>9195.1999999999989</v>
      </c>
      <c r="F26" s="7">
        <f t="shared" si="5"/>
        <v>5405.4</v>
      </c>
      <c r="G26" s="7">
        <f t="shared" si="5"/>
        <v>4311.3999999999996</v>
      </c>
    </row>
    <row r="27" spans="2:7" ht="18.75" x14ac:dyDescent="0.25">
      <c r="B27" s="8" t="s">
        <v>30</v>
      </c>
      <c r="C27" s="5">
        <v>34905.800000000003</v>
      </c>
      <c r="D27" s="5">
        <v>32458.1</v>
      </c>
      <c r="E27" s="5">
        <v>36269.199999999997</v>
      </c>
      <c r="F27" s="5">
        <v>34529.1</v>
      </c>
      <c r="G27" s="5">
        <v>37934.6</v>
      </c>
    </row>
    <row r="28" spans="2:7" ht="18.75" x14ac:dyDescent="0.25">
      <c r="B28" s="8" t="s">
        <v>36</v>
      </c>
      <c r="C28" s="5">
        <v>1217.3</v>
      </c>
      <c r="D28" s="5">
        <v>5045.5</v>
      </c>
      <c r="E28" s="5">
        <v>1218.8</v>
      </c>
      <c r="F28" s="5">
        <v>8415.7000000000007</v>
      </c>
      <c r="G28" s="5">
        <v>4100.1000000000004</v>
      </c>
    </row>
    <row r="29" spans="2:7" ht="18.75" x14ac:dyDescent="0.25">
      <c r="B29" s="8" t="s">
        <v>28</v>
      </c>
      <c r="C29" s="4">
        <v>2132.1</v>
      </c>
      <c r="D29" s="5">
        <v>1606.9</v>
      </c>
      <c r="E29" s="5">
        <v>1344.3</v>
      </c>
      <c r="F29" s="5">
        <v>1199.3</v>
      </c>
      <c r="G29" s="5">
        <v>0</v>
      </c>
    </row>
    <row r="30" spans="2:7" ht="18.75" x14ac:dyDescent="0.25">
      <c r="B30" s="9" t="s">
        <v>127</v>
      </c>
      <c r="C30" s="7">
        <f>C26+C27+C28+C29</f>
        <v>51644.000000000007</v>
      </c>
      <c r="D30" s="7">
        <f t="shared" ref="D30:G30" si="6">D26+D27+D28+D29</f>
        <v>51527</v>
      </c>
      <c r="E30" s="7">
        <f t="shared" si="6"/>
        <v>48027.5</v>
      </c>
      <c r="F30" s="7">
        <f t="shared" si="6"/>
        <v>49549.5</v>
      </c>
      <c r="G30" s="7">
        <f t="shared" si="6"/>
        <v>46346.1</v>
      </c>
    </row>
    <row r="31" spans="2:7" ht="18.75" x14ac:dyDescent="0.25">
      <c r="B31" s="8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141.1</v>
      </c>
    </row>
    <row r="32" spans="2:7" ht="18.75" x14ac:dyDescent="0.25">
      <c r="B32" s="8" t="s">
        <v>32</v>
      </c>
      <c r="C32" s="4">
        <v>0.2</v>
      </c>
      <c r="D32" s="4">
        <v>0.2</v>
      </c>
      <c r="E32" s="4">
        <v>0.2</v>
      </c>
      <c r="F32" s="4">
        <v>0.2</v>
      </c>
      <c r="G32" s="4">
        <v>0.2</v>
      </c>
    </row>
    <row r="33" spans="2:7" ht="18.75" x14ac:dyDescent="0.25">
      <c r="B33" s="8" t="s">
        <v>33</v>
      </c>
      <c r="C33" s="5">
        <v>1891.5</v>
      </c>
      <c r="D33" s="5">
        <v>2093.5</v>
      </c>
      <c r="E33" s="5">
        <v>1758.1</v>
      </c>
      <c r="F33" s="5">
        <v>1723.6</v>
      </c>
      <c r="G33" s="5">
        <v>3102.5</v>
      </c>
    </row>
    <row r="34" spans="2:7" ht="18.75" x14ac:dyDescent="0.25">
      <c r="B34" s="8" t="s">
        <v>40</v>
      </c>
      <c r="C34" s="4">
        <v>3</v>
      </c>
      <c r="D34" s="4">
        <v>16.100000000000001</v>
      </c>
      <c r="E34" s="4">
        <v>17</v>
      </c>
      <c r="F34" s="4">
        <v>23</v>
      </c>
      <c r="G34" s="4">
        <v>30.5</v>
      </c>
    </row>
    <row r="35" spans="2:7" ht="18.75" x14ac:dyDescent="0.25">
      <c r="B35" s="8" t="s">
        <v>41</v>
      </c>
      <c r="C35" s="5">
        <v>2010.1</v>
      </c>
      <c r="D35" s="5">
        <v>1487.9</v>
      </c>
      <c r="E35" s="5">
        <v>1984.2</v>
      </c>
      <c r="F35" s="5">
        <v>2729.6</v>
      </c>
      <c r="G35" s="5">
        <v>4053.8</v>
      </c>
    </row>
    <row r="36" spans="2:7" ht="18.75" x14ac:dyDescent="0.25">
      <c r="B36" s="8" t="s">
        <v>37</v>
      </c>
      <c r="C36" s="5">
        <v>3160.2</v>
      </c>
      <c r="D36" s="5">
        <v>3322.6</v>
      </c>
      <c r="E36" s="5">
        <v>3213.9</v>
      </c>
      <c r="F36" s="5">
        <v>3049</v>
      </c>
      <c r="G36" s="5">
        <v>3532.3</v>
      </c>
    </row>
    <row r="37" spans="2:7" ht="18.75" x14ac:dyDescent="0.25">
      <c r="B37" s="8" t="s">
        <v>38</v>
      </c>
      <c r="C37" s="5">
        <v>1465.4</v>
      </c>
      <c r="D37" s="5">
        <v>2312.8000000000002</v>
      </c>
      <c r="E37" s="5">
        <v>1977.7</v>
      </c>
      <c r="F37" s="5">
        <v>1279.9000000000001</v>
      </c>
      <c r="G37" s="5">
        <v>2034.5</v>
      </c>
    </row>
    <row r="38" spans="2:7" ht="18.75" x14ac:dyDescent="0.25">
      <c r="B38" s="8" t="s">
        <v>39</v>
      </c>
      <c r="C38" s="5">
        <v>74</v>
      </c>
      <c r="D38" s="5">
        <f>'CashFlow Statement'!D48+C38</f>
        <v>15343.500000000013</v>
      </c>
      <c r="E38" s="5">
        <f>'CashFlow Statement'!E48+D38</f>
        <v>33560.500000000007</v>
      </c>
      <c r="F38" s="5">
        <f>'CashFlow Statement'!F48+E38</f>
        <v>52814.000000000015</v>
      </c>
      <c r="G38" s="5">
        <f>'CashFlow Statement'!G48+F38</f>
        <v>77959.700000000012</v>
      </c>
    </row>
    <row r="39" spans="2:7" ht="18.75" x14ac:dyDescent="0.25">
      <c r="B39" s="9" t="s">
        <v>42</v>
      </c>
      <c r="C39" s="7">
        <f>C31+C32+C33+C34+C35+C36+C37+C38</f>
        <v>8604.4</v>
      </c>
      <c r="D39" s="7">
        <f t="shared" ref="D39:G39" si="7">D31+D32+D33+D34+D35+D36+D37+D38</f>
        <v>24576.600000000013</v>
      </c>
      <c r="E39" s="7">
        <f t="shared" si="7"/>
        <v>42511.600000000006</v>
      </c>
      <c r="F39" s="7">
        <f t="shared" si="7"/>
        <v>61619.300000000017</v>
      </c>
      <c r="G39" s="7">
        <f t="shared" si="7"/>
        <v>90854.6</v>
      </c>
    </row>
    <row r="40" spans="2:7" ht="18.75" x14ac:dyDescent="0.25">
      <c r="B40" s="9" t="s">
        <v>43</v>
      </c>
      <c r="C40" s="7">
        <f>C30+C39</f>
        <v>60248.400000000009</v>
      </c>
      <c r="D40" s="7">
        <f t="shared" ref="D40:G40" si="8">D30+D39</f>
        <v>76103.600000000006</v>
      </c>
      <c r="E40" s="7">
        <f t="shared" si="8"/>
        <v>90539.1</v>
      </c>
      <c r="F40" s="7">
        <f t="shared" si="8"/>
        <v>111168.80000000002</v>
      </c>
      <c r="G40" s="7">
        <f t="shared" si="8"/>
        <v>137200.70000000001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99AD0-9C12-4E63-BCE4-EDF3E77A5F93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5" width="13.140625" bestFit="1" customWidth="1"/>
    <col min="6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60248.4</v>
      </c>
      <c r="D5" s="16">
        <f>'Balance Sheet'!D21</f>
        <v>76103.60000000002</v>
      </c>
      <c r="E5" s="16">
        <f>'Balance Sheet'!E21</f>
        <v>90539.1</v>
      </c>
      <c r="F5" s="16">
        <f>'Balance Sheet'!F21</f>
        <v>111168.80000000002</v>
      </c>
      <c r="G5" s="16">
        <f>'Balance Sheet'!G21</f>
        <v>137200.70000000001</v>
      </c>
    </row>
    <row r="6" spans="2:7" ht="18.75" x14ac:dyDescent="0.25">
      <c r="B6" s="15" t="str">
        <f>'Balance Sheet'!B13</f>
        <v>Total Debt</v>
      </c>
      <c r="C6" s="16">
        <f>'Balance Sheet'!C13</f>
        <v>722.8</v>
      </c>
      <c r="D6" s="16">
        <f>'Balance Sheet'!D13</f>
        <v>771.5</v>
      </c>
      <c r="E6" s="16">
        <f>'Balance Sheet'!E13</f>
        <v>769.19999999999993</v>
      </c>
      <c r="F6" s="16">
        <f>'Balance Sheet'!F13</f>
        <v>937</v>
      </c>
      <c r="G6" s="16">
        <f>'Balance Sheet'!G13</f>
        <v>381.9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5A1212-06B9-484E-98B3-3D1036CFB02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5" width="13.140625" bestFit="1" customWidth="1"/>
    <col min="6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60248.4</v>
      </c>
      <c r="D5" s="16">
        <f>'Balance Sheet'!D21</f>
        <v>76103.60000000002</v>
      </c>
      <c r="E5" s="16">
        <f>'Balance Sheet'!E21</f>
        <v>90539.1</v>
      </c>
      <c r="F5" s="16">
        <f>'Balance Sheet'!F21</f>
        <v>111168.80000000002</v>
      </c>
      <c r="G5" s="16">
        <f>'Balance Sheet'!G21</f>
        <v>137200.70000000001</v>
      </c>
    </row>
    <row r="6" spans="2:7" ht="18.75" x14ac:dyDescent="0.25">
      <c r="B6" s="15" t="str">
        <f>'Balance Sheet'!B19</f>
        <v>Total Current Liabilities</v>
      </c>
      <c r="C6" s="16">
        <f>'Balance Sheet'!C19</f>
        <v>16950.099999999999</v>
      </c>
      <c r="D6" s="16">
        <f>'Balance Sheet'!D19</f>
        <v>16087.5</v>
      </c>
      <c r="E6" s="16">
        <f>'Balance Sheet'!E19</f>
        <v>13426.300000000001</v>
      </c>
      <c r="F6" s="16">
        <f>'Balance Sheet'!F19</f>
        <v>17845.099999999999</v>
      </c>
      <c r="G6" s="16">
        <f>'Balance Sheet'!G19</f>
        <v>18940.099999999999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8828B-32E7-457F-AB2E-522E327EF21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5" width="13.140625" bestFit="1" customWidth="1"/>
    <col min="6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60248.400000000009</v>
      </c>
      <c r="D5" s="16">
        <f>'Balance Sheet'!D40</f>
        <v>76103.600000000006</v>
      </c>
      <c r="E5" s="16">
        <f>'Balance Sheet'!E40</f>
        <v>90539.1</v>
      </c>
      <c r="F5" s="16">
        <f>'Balance Sheet'!F40</f>
        <v>111168.80000000002</v>
      </c>
      <c r="G5" s="16">
        <f>'Balance Sheet'!G40</f>
        <v>137200.70000000001</v>
      </c>
    </row>
    <row r="6" spans="2:7" ht="18.75" x14ac:dyDescent="0.25">
      <c r="B6" s="15" t="str">
        <f>'Balance Sheet'!B30</f>
        <v>Total Non Current Assets</v>
      </c>
      <c r="C6" s="16">
        <f>'Balance Sheet'!C30</f>
        <v>51644.000000000007</v>
      </c>
      <c r="D6" s="16">
        <f>'Balance Sheet'!D30</f>
        <v>51527</v>
      </c>
      <c r="E6" s="16">
        <f>'Balance Sheet'!E30</f>
        <v>48027.5</v>
      </c>
      <c r="F6" s="16">
        <f>'Balance Sheet'!F30</f>
        <v>49549.5</v>
      </c>
      <c r="G6" s="16">
        <f>'Balance Sheet'!G30</f>
        <v>46346.1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27FB8-C4A4-4A52-B08F-6685ED08A82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5" width="13.140625" bestFit="1" customWidth="1"/>
    <col min="6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60248.400000000009</v>
      </c>
      <c r="D5" s="16">
        <f>'Balance Sheet'!D40</f>
        <v>76103.600000000006</v>
      </c>
      <c r="E5" s="16">
        <f>'Balance Sheet'!E40</f>
        <v>90539.1</v>
      </c>
      <c r="F5" s="16">
        <f>'Balance Sheet'!F40</f>
        <v>111168.80000000002</v>
      </c>
      <c r="G5" s="16">
        <f>'Balance Sheet'!G40</f>
        <v>137200.70000000001</v>
      </c>
    </row>
    <row r="6" spans="2:7" ht="18.75" x14ac:dyDescent="0.25">
      <c r="B6" s="15" t="str">
        <f>'Balance Sheet'!B39</f>
        <v>Total Current Assets</v>
      </c>
      <c r="C6" s="16">
        <f>'Balance Sheet'!C39</f>
        <v>8604.4</v>
      </c>
      <c r="D6" s="16">
        <f>'Balance Sheet'!D39</f>
        <v>24576.600000000013</v>
      </c>
      <c r="E6" s="16">
        <f>'Balance Sheet'!E39</f>
        <v>42511.600000000006</v>
      </c>
      <c r="F6" s="16">
        <f>'Balance Sheet'!F39</f>
        <v>61619.300000000017</v>
      </c>
      <c r="G6" s="16">
        <f>'Balance Sheet'!G39</f>
        <v>90854.6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A55BF-0725-4B54-B91A-B9245CE0447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57802.2</v>
      </c>
      <c r="D5" s="16">
        <f>'Income Statement'!D15</f>
        <v>59949.2</v>
      </c>
      <c r="E5" s="16">
        <f>'Income Statement'!E15</f>
        <v>49940.6</v>
      </c>
      <c r="F5" s="16">
        <f>'Income Statement'!F15</f>
        <v>47565.5</v>
      </c>
      <c r="G5" s="16">
        <f>'Income Statement'!G15</f>
        <v>56319.199999999997</v>
      </c>
    </row>
    <row r="6" spans="2:7" ht="18.75" x14ac:dyDescent="0.25">
      <c r="B6" s="15" t="str">
        <f>'Income Statement'!B10</f>
        <v>Total Income</v>
      </c>
      <c r="C6" s="16">
        <f>'Income Statement'!C10</f>
        <v>80162.900000000009</v>
      </c>
      <c r="D6" s="16">
        <f>'Income Statement'!D10</f>
        <v>85600.1</v>
      </c>
      <c r="E6" s="16">
        <f>'Income Statement'!E10</f>
        <v>75039.199999999997</v>
      </c>
      <c r="F6" s="16">
        <f>'Income Statement'!F10</f>
        <v>69508.100000000006</v>
      </c>
      <c r="G6" s="16">
        <f>'Income Statement'!G10</f>
        <v>85544.5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DEA18-E1E9-4396-879B-B2F460933EA0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13242.100000000011</v>
      </c>
      <c r="D5" s="16">
        <f>'Income Statement'!D30</f>
        <v>16667.600000000009</v>
      </c>
      <c r="E5" s="16">
        <f>'Income Statement'!E30</f>
        <v>17097.399999999998</v>
      </c>
      <c r="F5" s="16">
        <f>'Income Statement'!F30</f>
        <v>16062.300000000007</v>
      </c>
      <c r="G5" s="16">
        <f>'Income Statement'!G30</f>
        <v>25492.000000000004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15968.900000000012</v>
      </c>
      <c r="D6" s="16">
        <f>'Income Statement'!D27</f>
        <v>19581.000000000007</v>
      </c>
      <c r="E6" s="16">
        <f>'Income Statement'!E27</f>
        <v>20010.799999999996</v>
      </c>
      <c r="F6" s="16">
        <f>'Income Statement'!F27</f>
        <v>17874.800000000007</v>
      </c>
      <c r="G6" s="16">
        <f>'Income Statement'!G27</f>
        <v>25492.000000000004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18BA47-2945-4D77-A268-465F791F2659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7" width="15.42578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22554.200000000008</v>
      </c>
      <c r="E5" s="5">
        <f>'Income Statement'!E25</f>
        <v>21435.999999999996</v>
      </c>
      <c r="F5" s="5">
        <f>'Income Statement'!F25</f>
        <v>18806.700000000008</v>
      </c>
      <c r="G5" s="5">
        <f>'Income Statement'!G25</f>
        <v>26309.700000000004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3020.8</v>
      </c>
      <c r="E7" s="5">
        <f>'Income Statement'!E18</f>
        <v>3528.4</v>
      </c>
      <c r="F7" s="5">
        <f>'Income Statement'!F18</f>
        <v>3034.1</v>
      </c>
      <c r="G7" s="5">
        <f>'Income Statement'!G18</f>
        <v>2789</v>
      </c>
    </row>
    <row r="8" spans="2:7" ht="18.75" x14ac:dyDescent="0.25">
      <c r="B8" s="8" t="s">
        <v>131</v>
      </c>
      <c r="C8" s="4"/>
      <c r="D8" s="4">
        <f>'Income Statement'!D20</f>
        <v>75.900000000000006</v>
      </c>
      <c r="E8" s="4">
        <f>'Income Statement'!E20</f>
        <v>134.19999999999999</v>
      </c>
      <c r="F8" s="4">
        <f>'Income Statement'!F20</f>
        <v>101.8</v>
      </c>
      <c r="G8" s="4">
        <f>'Income Statement'!G20</f>
        <v>126.6</v>
      </c>
    </row>
    <row r="9" spans="2:7" ht="18.75" x14ac:dyDescent="0.25">
      <c r="B9" s="8" t="s">
        <v>59</v>
      </c>
      <c r="C9" s="4"/>
      <c r="D9" s="5">
        <f>'Income Statement'!D8</f>
        <v>2561.6</v>
      </c>
      <c r="E9" s="5">
        <f>'Income Statement'!E8</f>
        <v>3334.4</v>
      </c>
      <c r="F9" s="5">
        <f>'Income Statement'!F8</f>
        <v>2936.3</v>
      </c>
      <c r="G9" s="5">
        <f>'Income Statement'!G8</f>
        <v>1744.7</v>
      </c>
    </row>
    <row r="10" spans="2:7" ht="18.75" x14ac:dyDescent="0.25">
      <c r="B10" s="9" t="s">
        <v>132</v>
      </c>
      <c r="C10" s="6"/>
      <c r="D10" s="7">
        <f>D7+D8-D9</f>
        <v>535.10000000000036</v>
      </c>
      <c r="E10" s="7">
        <f t="shared" ref="E10:G10" si="0">E7+E8-E9</f>
        <v>328.19999999999982</v>
      </c>
      <c r="F10" s="7">
        <f t="shared" si="0"/>
        <v>199.59999999999991</v>
      </c>
      <c r="G10" s="7">
        <f t="shared" si="0"/>
        <v>1170.8999999999999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4">
        <f>'Balance Sheet'!C31-'Balance Sheet'!D31</f>
        <v>0</v>
      </c>
      <c r="E12" s="4">
        <f>'Balance Sheet'!D31-'Balance Sheet'!E31</f>
        <v>0</v>
      </c>
      <c r="F12" s="4">
        <f>'Balance Sheet'!E31-'Balance Sheet'!F31</f>
        <v>0</v>
      </c>
      <c r="G12" s="4">
        <f>'Balance Sheet'!F31-'Balance Sheet'!G31</f>
        <v>-141.1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0</v>
      </c>
      <c r="E13" s="4">
        <f>'Balance Sheet'!D32-'Balance Sheet'!E32</f>
        <v>0</v>
      </c>
      <c r="F13" s="4">
        <f>'Balance Sheet'!E32-'Balance Sheet'!F32</f>
        <v>0</v>
      </c>
      <c r="G13" s="4">
        <f>'Balance Sheet'!F32-'Balance Sheet'!G32</f>
        <v>0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-202</v>
      </c>
      <c r="E14" s="5">
        <f>'Balance Sheet'!D33-'Balance Sheet'!E33</f>
        <v>335.40000000000009</v>
      </c>
      <c r="F14" s="5">
        <f>'Balance Sheet'!E33-'Balance Sheet'!F33</f>
        <v>34.5</v>
      </c>
      <c r="G14" s="5">
        <f>'Balance Sheet'!F33-'Balance Sheet'!G33</f>
        <v>-1378.9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-13.100000000000001</v>
      </c>
      <c r="E15" s="4">
        <f>'Balance Sheet'!D34-'Balance Sheet'!E34</f>
        <v>-0.89999999999999858</v>
      </c>
      <c r="F15" s="4">
        <f>'Balance Sheet'!E34-'Balance Sheet'!F34</f>
        <v>-6</v>
      </c>
      <c r="G15" s="4">
        <f>'Balance Sheet'!F34-'Balance Sheet'!G34</f>
        <v>-7.5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522.19999999999982</v>
      </c>
      <c r="E16" s="5">
        <f>'Balance Sheet'!D35-'Balance Sheet'!E35</f>
        <v>-496.29999999999995</v>
      </c>
      <c r="F16" s="5">
        <f>'Balance Sheet'!E35-'Balance Sheet'!F35</f>
        <v>-745.39999999999986</v>
      </c>
      <c r="G16" s="5">
        <f>'Balance Sheet'!F35-'Balance Sheet'!G35</f>
        <v>-1324.2000000000003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-162.40000000000009</v>
      </c>
      <c r="E17" s="5">
        <f>'Balance Sheet'!D36-'Balance Sheet'!E36</f>
        <v>108.69999999999982</v>
      </c>
      <c r="F17" s="5">
        <f>'Balance Sheet'!E36-'Balance Sheet'!F36</f>
        <v>164.90000000000009</v>
      </c>
      <c r="G17" s="5">
        <f>'Balance Sheet'!F36-'Balance Sheet'!G36</f>
        <v>-483.30000000000018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-847.40000000000009</v>
      </c>
      <c r="E18" s="5">
        <f>'Balance Sheet'!D37-'Balance Sheet'!E37</f>
        <v>335.10000000000014</v>
      </c>
      <c r="F18" s="5">
        <f>'Balance Sheet'!E37-'Balance Sheet'!F37</f>
        <v>697.8</v>
      </c>
      <c r="G18" s="5">
        <f>'Balance Sheet'!F37-'Balance Sheet'!G37</f>
        <v>-754.59999999999991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4">
        <f>'Balance Sheet'!D14-'Balance Sheet'!C14</f>
        <v>13</v>
      </c>
      <c r="E20" s="4">
        <f>'Balance Sheet'!E14-'Balance Sheet'!D14</f>
        <v>12.100000000000001</v>
      </c>
      <c r="F20" s="4">
        <f>'Balance Sheet'!F14-'Balance Sheet'!E14</f>
        <v>-6.8999999999999986</v>
      </c>
      <c r="G20" s="4">
        <f>'Balance Sheet'!G14-'Balance Sheet'!F14</f>
        <v>39.700000000000003</v>
      </c>
    </row>
    <row r="21" spans="2:7" ht="18.75" x14ac:dyDescent="0.25">
      <c r="B21" s="8" t="str">
        <f>'Balance Sheet'!B15</f>
        <v>Short Term Provisions</v>
      </c>
      <c r="C21" s="4"/>
      <c r="D21" s="4">
        <f>'Balance Sheet'!D15-'Balance Sheet'!C15</f>
        <v>64.5</v>
      </c>
      <c r="E21" s="4">
        <f>'Balance Sheet'!E15-'Balance Sheet'!D15</f>
        <v>55.300000000000068</v>
      </c>
      <c r="F21" s="4">
        <f>'Balance Sheet'!F15-'Balance Sheet'!E15</f>
        <v>62.099999999999909</v>
      </c>
      <c r="G21" s="4">
        <f>'Balance Sheet'!G15-'Balance Sheet'!F15</f>
        <v>118.5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451.19999999999982</v>
      </c>
      <c r="E22" s="5">
        <f>'Balance Sheet'!E16-'Balance Sheet'!D16</f>
        <v>138.5</v>
      </c>
      <c r="F22" s="5">
        <f>'Balance Sheet'!F16-'Balance Sheet'!E16</f>
        <v>-6.9000000000000909</v>
      </c>
      <c r="G22" s="5">
        <f>'Balance Sheet'!G16-'Balance Sheet'!F16</f>
        <v>45.400000000000091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-861.59999999999854</v>
      </c>
      <c r="E23" s="5">
        <f>'Balance Sheet'!E17-'Balance Sheet'!D17</f>
        <v>-2138.9000000000005</v>
      </c>
      <c r="F23" s="5">
        <f>'Balance Sheet'!F17-'Balance Sheet'!E17</f>
        <v>2669.3</v>
      </c>
      <c r="G23" s="5">
        <f>'Balance Sheet'!G17-'Balance Sheet'!F17</f>
        <v>-402.89999999999964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-529.69999999999982</v>
      </c>
      <c r="E24" s="5">
        <f>'Balance Sheet'!E18-'Balance Sheet'!D18</f>
        <v>-728.20000000000027</v>
      </c>
      <c r="F24" s="5">
        <f>'Balance Sheet'!F18-'Balance Sheet'!E18</f>
        <v>1701.2000000000003</v>
      </c>
      <c r="G24" s="5">
        <f>'Balance Sheet'!G18-'Balance Sheet'!F18</f>
        <v>1294.3000000000002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4">
        <f>'Income Statement'!D26</f>
        <v>2973.2</v>
      </c>
      <c r="E26" s="4">
        <f>'Income Statement'!E26</f>
        <v>1425.2</v>
      </c>
      <c r="F26" s="4">
        <f>'Income Statement'!F26</f>
        <v>931.9</v>
      </c>
      <c r="G26" s="4">
        <f>'Income Statement'!G26</f>
        <v>817.7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18550.80000000001</v>
      </c>
      <c r="E27" s="7">
        <f t="shared" ref="E27:G27" si="1">E12+E13+E14+E15+E16+E17+E18+E20+E21+E22+E23+E24-E26+E10+E5</f>
        <v>17959.799999999996</v>
      </c>
      <c r="F27" s="7">
        <f t="shared" si="1"/>
        <v>22639.000000000007</v>
      </c>
      <c r="G27" s="7">
        <f t="shared" si="1"/>
        <v>23668.300000000003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-1909.1000000000004</v>
      </c>
      <c r="E29" s="5">
        <f>'Balance Sheet'!D23-'Balance Sheet'!E23</f>
        <v>-422.39999999999964</v>
      </c>
      <c r="F29" s="5">
        <f>'Balance Sheet'!E23-'Balance Sheet'!F23</f>
        <v>644.10000000000036</v>
      </c>
      <c r="G29" s="5">
        <f>'Balance Sheet'!F23-'Balance Sheet'!G23</f>
        <v>-1919.2000000000007</v>
      </c>
    </row>
    <row r="30" spans="2:7" ht="18.75" x14ac:dyDescent="0.25">
      <c r="B30" s="8" t="str">
        <f>'Balance Sheet'!B24</f>
        <v>Intangible Assets</v>
      </c>
      <c r="C30" s="4"/>
      <c r="D30" s="4">
        <f>'Balance Sheet'!C24-'Balance Sheet'!D24</f>
        <v>-139.40000000000003</v>
      </c>
      <c r="E30" s="4">
        <f>'Balance Sheet'!D24-'Balance Sheet'!E24</f>
        <v>115.30000000000001</v>
      </c>
      <c r="F30" s="4">
        <f>'Balance Sheet'!E24-'Balance Sheet'!F24</f>
        <v>111.60000000000002</v>
      </c>
      <c r="G30" s="4">
        <f>'Balance Sheet'!F24-'Balance Sheet'!G24</f>
        <v>224.2</v>
      </c>
    </row>
    <row r="31" spans="2:7" ht="18.75" x14ac:dyDescent="0.25">
      <c r="B31" s="8" t="str">
        <f>'Balance Sheet'!B27</f>
        <v>Non-Current Investments</v>
      </c>
      <c r="C31" s="4"/>
      <c r="D31" s="5">
        <f>'Balance Sheet'!C27-'Balance Sheet'!D27</f>
        <v>2447.7000000000044</v>
      </c>
      <c r="E31" s="5">
        <f>'Balance Sheet'!D27-'Balance Sheet'!E27</f>
        <v>-3811.0999999999985</v>
      </c>
      <c r="F31" s="5">
        <f>'Balance Sheet'!E27-'Balance Sheet'!F27</f>
        <v>1740.0999999999985</v>
      </c>
      <c r="G31" s="5">
        <f>'Balance Sheet'!F27-'Balance Sheet'!G27</f>
        <v>-3405.5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-3828.2</v>
      </c>
      <c r="E32" s="5">
        <f>'Balance Sheet'!D28-'Balance Sheet'!E28</f>
        <v>3826.7</v>
      </c>
      <c r="F32" s="5">
        <f>'Balance Sheet'!E28-'Balance Sheet'!F28</f>
        <v>-7196.9000000000005</v>
      </c>
      <c r="G32" s="5">
        <f>'Balance Sheet'!F28-'Balance Sheet'!G28</f>
        <v>4315.6000000000004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525.19999999999982</v>
      </c>
      <c r="E33" s="5">
        <f>'Balance Sheet'!D29-'Balance Sheet'!E29</f>
        <v>262.60000000000014</v>
      </c>
      <c r="F33" s="5">
        <f>'Balance Sheet'!E29-'Balance Sheet'!F29</f>
        <v>145</v>
      </c>
      <c r="G33" s="5">
        <f>'Balance Sheet'!F29-'Balance Sheet'!G29</f>
        <v>1199.3</v>
      </c>
    </row>
    <row r="34" spans="2:7" ht="18.75" x14ac:dyDescent="0.25">
      <c r="B34" s="8" t="s">
        <v>59</v>
      </c>
      <c r="C34" s="4"/>
      <c r="D34" s="5">
        <f>'Income Statement'!D8</f>
        <v>2561.6</v>
      </c>
      <c r="E34" s="5">
        <f>'Income Statement'!E8</f>
        <v>3334.4</v>
      </c>
      <c r="F34" s="5">
        <f>'Income Statement'!F8</f>
        <v>2936.3</v>
      </c>
      <c r="G34" s="5">
        <f>'Income Statement'!G8</f>
        <v>1744.7</v>
      </c>
    </row>
    <row r="35" spans="2:7" ht="18.75" x14ac:dyDescent="0.25">
      <c r="B35" s="9" t="s">
        <v>137</v>
      </c>
      <c r="C35" s="6"/>
      <c r="D35" s="7">
        <f>D29+D30+D31+D32+D33+D34</f>
        <v>-342.19999999999618</v>
      </c>
      <c r="E35" s="7">
        <f t="shared" ref="E35:G35" si="2">E29+E30+E31+E32+E33+E34</f>
        <v>3305.5000000000018</v>
      </c>
      <c r="F35" s="7">
        <f t="shared" si="2"/>
        <v>-1619.800000000002</v>
      </c>
      <c r="G35" s="7">
        <f t="shared" si="2"/>
        <v>2159.0999999999995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4">
        <f>'Balance Sheet'!D5-'Balance Sheet'!C5</f>
        <v>0</v>
      </c>
      <c r="E37" s="4">
        <f>'Balance Sheet'!E5-'Balance Sheet'!D5</f>
        <v>0</v>
      </c>
      <c r="F37" s="4">
        <f>'Balance Sheet'!F5-'Balance Sheet'!E5</f>
        <v>0</v>
      </c>
      <c r="G37" s="4">
        <f>'Balance Sheet'!G5-'Balance Sheet'!F5</f>
        <v>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4">
        <f>'Balance Sheet'!D10-'Balance Sheet'!C10</f>
        <v>-2</v>
      </c>
      <c r="E39" s="4">
        <f>'Balance Sheet'!E10-'Balance Sheet'!D10</f>
        <v>-2.5999999999999996</v>
      </c>
      <c r="F39" s="4">
        <f>'Balance Sheet'!F10-'Balance Sheet'!E10</f>
        <v>-2.6000000000000005</v>
      </c>
      <c r="G39" s="4">
        <f>'Balance Sheet'!G10-'Balance Sheet'!F10</f>
        <v>-2.8</v>
      </c>
    </row>
    <row r="40" spans="2:7" ht="18.75" x14ac:dyDescent="0.25">
      <c r="B40" s="8" t="str">
        <f>'Balance Sheet'!B11</f>
        <v>Deferred Tax Liabilities [Net]</v>
      </c>
      <c r="C40" s="4"/>
      <c r="D40" s="4">
        <f>'Balance Sheet'!D11-'Balance Sheet'!C11</f>
        <v>11.899999999999977</v>
      </c>
      <c r="E40" s="4">
        <f>'Balance Sheet'!E11-'Balance Sheet'!D11</f>
        <v>43.600000000000023</v>
      </c>
      <c r="F40" s="4">
        <f>'Balance Sheet'!F11-'Balance Sheet'!E11</f>
        <v>-212.10000000000002</v>
      </c>
      <c r="G40" s="4">
        <f>'Balance Sheet'!G11-'Balance Sheet'!F11</f>
        <v>-445.4</v>
      </c>
    </row>
    <row r="41" spans="2:7" ht="18.75" x14ac:dyDescent="0.25">
      <c r="B41" s="8" t="str">
        <f>'Balance Sheet'!B12</f>
        <v>Short Term Borrowings</v>
      </c>
      <c r="C41" s="4"/>
      <c r="D41" s="4">
        <f>'Balance Sheet'!D12-'Balance Sheet'!C12</f>
        <v>38.799999999999997</v>
      </c>
      <c r="E41" s="4">
        <f>'Balance Sheet'!E12-'Balance Sheet'!D12</f>
        <v>-43.3</v>
      </c>
      <c r="F41" s="4">
        <f>'Balance Sheet'!F12-'Balance Sheet'!E12</f>
        <v>382.5</v>
      </c>
      <c r="G41" s="4">
        <f>'Balance Sheet'!G12-'Balance Sheet'!F12</f>
        <v>-106.90000000000003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1.5</v>
      </c>
      <c r="E42" s="4">
        <f>'Balance Sheet'!E20-'Balance Sheet'!D20</f>
        <v>1.5999999999999979</v>
      </c>
      <c r="F42" s="4">
        <f>'Balance Sheet'!F20-'Balance Sheet'!E20</f>
        <v>-19.2</v>
      </c>
      <c r="G42" s="4">
        <f>'Balance Sheet'!G20-'Balance Sheet'!F20</f>
        <v>0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2416.6</v>
      </c>
      <c r="E44" s="5">
        <f>'Income Statement'!E28</f>
        <v>2416.6</v>
      </c>
      <c r="F44" s="5">
        <f>'Income Statement'!F28</f>
        <v>1812.5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496.8</v>
      </c>
      <c r="E45" s="4">
        <f>'Income Statement'!E29</f>
        <v>496.8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4">
        <f>'Income Statement'!D20</f>
        <v>75.900000000000006</v>
      </c>
      <c r="E46" s="4">
        <f>'Income Statement'!E20</f>
        <v>134.19999999999999</v>
      </c>
      <c r="F46" s="4">
        <f>'Income Statement'!F20</f>
        <v>101.8</v>
      </c>
      <c r="G46" s="4">
        <f>'Income Statement'!G20</f>
        <v>126.6</v>
      </c>
    </row>
    <row r="47" spans="2:7" ht="18.75" x14ac:dyDescent="0.25">
      <c r="B47" s="9" t="s">
        <v>141</v>
      </c>
      <c r="C47" s="6"/>
      <c r="D47" s="7">
        <f>D37+D38+D39+D40+D41+D42-D44-D45-D46</f>
        <v>-2939.1000000000004</v>
      </c>
      <c r="E47" s="7">
        <f t="shared" ref="E47:G47" si="3">E37+E38+E39+E40+E41+E42-E44-E45-E46</f>
        <v>-3048.2999999999997</v>
      </c>
      <c r="F47" s="7">
        <f t="shared" si="3"/>
        <v>-1765.7</v>
      </c>
      <c r="G47" s="7">
        <f t="shared" si="3"/>
        <v>-681.7</v>
      </c>
    </row>
    <row r="48" spans="2:7" ht="18.75" x14ac:dyDescent="0.25">
      <c r="B48" s="9" t="s">
        <v>142</v>
      </c>
      <c r="C48" s="6"/>
      <c r="D48" s="7">
        <f>D27+D35+D47</f>
        <v>15269.500000000013</v>
      </c>
      <c r="E48" s="7">
        <f t="shared" ref="E48:G48" si="4">E27+E35+E47</f>
        <v>18216.999999999996</v>
      </c>
      <c r="F48" s="7">
        <f t="shared" si="4"/>
        <v>19253.500000000004</v>
      </c>
      <c r="G48" s="7">
        <f t="shared" si="4"/>
        <v>25145.7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BB096-CB45-45A1-B33D-46C591D87BFC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6" width="15.140625" bestFit="1" customWidth="1"/>
    <col min="7" max="7" width="14.8554687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15968.900000000012</v>
      </c>
      <c r="D6" s="16">
        <f>'Income Statement'!D27</f>
        <v>19581.000000000007</v>
      </c>
      <c r="E6" s="16">
        <f>'Income Statement'!E27</f>
        <v>20010.799999999996</v>
      </c>
      <c r="F6" s="16">
        <f>'Income Statement'!F27</f>
        <v>17874.800000000007</v>
      </c>
      <c r="G6" s="16">
        <f>'Income Statement'!G27</f>
        <v>25492.000000000004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61.183524904214607</v>
      </c>
      <c r="D7" s="16">
        <f>'Income Statement'!D35</f>
        <v>77.395256916996075</v>
      </c>
      <c r="E7" s="16">
        <f>'Income Statement'!E35</f>
        <v>106.44042553191487</v>
      </c>
      <c r="F7" s="16">
        <f>'Income Statement'!F35</f>
        <v>123.27448275862074</v>
      </c>
      <c r="G7" s="16">
        <f>'Income Statement'!G35</f>
        <v>199.15625000000003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261</v>
      </c>
      <c r="D8" s="17">
        <f t="shared" ref="D8:G8" si="0">ROUND(D6/D7, 2)</f>
        <v>253</v>
      </c>
      <c r="E8" s="17">
        <f t="shared" si="0"/>
        <v>188</v>
      </c>
      <c r="F8" s="17">
        <f t="shared" si="0"/>
        <v>145</v>
      </c>
      <c r="G8" s="17">
        <f t="shared" si="0"/>
        <v>128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2265.6</v>
      </c>
      <c r="D11" s="16">
        <f>'Income Statement'!D28</f>
        <v>2416.6</v>
      </c>
      <c r="E11" s="16">
        <f>'Income Statement'!E28</f>
        <v>2416.6</v>
      </c>
      <c r="F11" s="16">
        <f>'Income Statement'!F28</f>
        <v>1812.5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61.183524904214607</v>
      </c>
      <c r="D12" s="16">
        <f>'Income Statement'!D35</f>
        <v>77.395256916996075</v>
      </c>
      <c r="E12" s="16">
        <f>'Income Statement'!E35</f>
        <v>106.44042553191487</v>
      </c>
      <c r="F12" s="16">
        <f>'Income Statement'!F35</f>
        <v>123.27448275862074</v>
      </c>
      <c r="G12" s="16">
        <f>'Income Statement'!G35</f>
        <v>199.15625000000003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37.03</v>
      </c>
      <c r="D13" s="17">
        <f t="shared" ref="D13:G13" si="1">ROUND(D11/D12, 2)</f>
        <v>31.22</v>
      </c>
      <c r="E13" s="17">
        <f t="shared" si="1"/>
        <v>22.7</v>
      </c>
      <c r="F13" s="17">
        <f t="shared" si="1"/>
        <v>14.7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42559.4</v>
      </c>
      <c r="D16" s="16">
        <f>'Balance Sheet'!D9</f>
        <v>59227.000000000015</v>
      </c>
      <c r="E16" s="16">
        <f>'Balance Sheet'!E9</f>
        <v>76324.400000000009</v>
      </c>
      <c r="F16" s="16">
        <f>'Balance Sheet'!F9</f>
        <v>92386.700000000012</v>
      </c>
      <c r="G16" s="16">
        <f>'Balance Sheet'!G9</f>
        <v>117878.70000000001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61.183524904214607</v>
      </c>
      <c r="D17" s="16">
        <f>'Income Statement'!D35</f>
        <v>77.395256916996075</v>
      </c>
      <c r="E17" s="16">
        <f>'Income Statement'!E35</f>
        <v>106.44042553191487</v>
      </c>
      <c r="F17" s="16">
        <f>'Income Statement'!F35</f>
        <v>123.27448275862074</v>
      </c>
      <c r="G17" s="16">
        <f>'Income Statement'!G35</f>
        <v>199.15625000000003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695.6</v>
      </c>
      <c r="D18" s="17">
        <f t="shared" ref="D18:G18" si="2">ROUND(D16/D17, 2)</f>
        <v>765.25</v>
      </c>
      <c r="E18" s="17">
        <f t="shared" si="2"/>
        <v>717.06</v>
      </c>
      <c r="F18" s="17">
        <f t="shared" si="2"/>
        <v>749.44</v>
      </c>
      <c r="G18" s="17">
        <f t="shared" si="2"/>
        <v>591.89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2265.6</v>
      </c>
      <c r="D21" s="16">
        <f>'Income Statement'!D28</f>
        <v>2416.6</v>
      </c>
      <c r="E21" s="16">
        <f>'Income Statement'!E28</f>
        <v>2416.6</v>
      </c>
      <c r="F21" s="16">
        <f>'Income Statement'!F28</f>
        <v>1812.5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61.183524904214607</v>
      </c>
      <c r="D22" s="16">
        <f>'Income Statement'!D35</f>
        <v>77.395256916996075</v>
      </c>
      <c r="E22" s="16">
        <f>'Income Statement'!E35</f>
        <v>106.44042553191487</v>
      </c>
      <c r="F22" s="16">
        <f>'Income Statement'!F35</f>
        <v>123.27448275862074</v>
      </c>
      <c r="G22" s="16">
        <f>'Income Statement'!G35</f>
        <v>199.15625000000003</v>
      </c>
    </row>
    <row r="23" spans="2:12" ht="18.75" x14ac:dyDescent="0.25">
      <c r="B23" s="15" t="s">
        <v>148</v>
      </c>
      <c r="C23" s="16">
        <f>ROUND(C21/C22, 2)</f>
        <v>37.03</v>
      </c>
      <c r="D23" s="16">
        <f t="shared" ref="D23:G23" si="3">ROUND(D21/D22, 2)</f>
        <v>31.22</v>
      </c>
      <c r="E23" s="16">
        <f t="shared" si="3"/>
        <v>22.7</v>
      </c>
      <c r="F23" s="16">
        <f t="shared" si="3"/>
        <v>14.7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15968.900000000012</v>
      </c>
      <c r="D24" s="16">
        <f>'Income Statement'!D27</f>
        <v>19581.000000000007</v>
      </c>
      <c r="E24" s="16">
        <f>'Income Statement'!E27</f>
        <v>20010.799999999996</v>
      </c>
      <c r="F24" s="16">
        <f>'Income Statement'!F27</f>
        <v>17874.800000000007</v>
      </c>
      <c r="G24" s="16">
        <f>'Income Statement'!G27</f>
        <v>25492.000000000004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61.183524904214607</v>
      </c>
      <c r="D25" s="16">
        <f>'Income Statement'!D35</f>
        <v>77.395256916996075</v>
      </c>
      <c r="E25" s="16">
        <f>'Income Statement'!E35</f>
        <v>106.44042553191487</v>
      </c>
      <c r="F25" s="16">
        <f>'Income Statement'!F35</f>
        <v>123.27448275862074</v>
      </c>
      <c r="G25" s="16">
        <f>'Income Statement'!G35</f>
        <v>199.15625000000003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261</v>
      </c>
      <c r="D26" s="16">
        <f t="shared" ref="D26:G26" si="4">D24/D25</f>
        <v>253</v>
      </c>
      <c r="E26" s="16">
        <f t="shared" si="4"/>
        <v>188</v>
      </c>
      <c r="F26" s="16">
        <f t="shared" si="4"/>
        <v>145</v>
      </c>
      <c r="G26" s="16">
        <f t="shared" si="4"/>
        <v>128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0.14000000000000001</v>
      </c>
      <c r="D27" s="17">
        <f t="shared" ref="D27:G27" si="5">ROUND(D23/D26, 2)</f>
        <v>0.12</v>
      </c>
      <c r="E27" s="17">
        <f t="shared" si="5"/>
        <v>0.12</v>
      </c>
      <c r="F27" s="17">
        <f t="shared" si="5"/>
        <v>0.1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2265.6</v>
      </c>
      <c r="D30" s="16">
        <f>'Income Statement'!D28</f>
        <v>2416.6</v>
      </c>
      <c r="E30" s="16">
        <f>'Income Statement'!E28</f>
        <v>2416.6</v>
      </c>
      <c r="F30" s="16">
        <f>'Income Statement'!F28</f>
        <v>1812.5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61.183524904214607</v>
      </c>
      <c r="D31" s="16">
        <f>'Income Statement'!D35</f>
        <v>77.395256916996075</v>
      </c>
      <c r="E31" s="16">
        <f>'Income Statement'!E35</f>
        <v>106.44042553191487</v>
      </c>
      <c r="F31" s="16">
        <f>'Income Statement'!F35</f>
        <v>123.27448275862074</v>
      </c>
      <c r="G31" s="16">
        <f>'Income Statement'!G35</f>
        <v>199.15625000000003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37.03</v>
      </c>
      <c r="D32" s="16">
        <f t="shared" ref="D32:G32" si="6">ROUND(D30/D31, 2)</f>
        <v>31.22</v>
      </c>
      <c r="E32" s="16">
        <f t="shared" si="6"/>
        <v>22.7</v>
      </c>
      <c r="F32" s="16">
        <f t="shared" si="6"/>
        <v>14.7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-36.03</v>
      </c>
      <c r="D33" s="27">
        <f t="shared" ref="D33:G33" si="7">1-D32</f>
        <v>-30.22</v>
      </c>
      <c r="E33" s="27">
        <f t="shared" si="7"/>
        <v>-21.7</v>
      </c>
      <c r="F33" s="27">
        <f t="shared" si="7"/>
        <v>-13.7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80348.800000000003</v>
      </c>
      <c r="D36" s="16">
        <f>'Income Statement'!D5</f>
        <v>83038.5</v>
      </c>
      <c r="E36" s="16">
        <f>'Income Statement'!E5</f>
        <v>71704.800000000003</v>
      </c>
      <c r="F36" s="16">
        <f>'Income Statement'!F5</f>
        <v>66571.8</v>
      </c>
      <c r="G36" s="16">
        <f>'Income Statement'!G5</f>
        <v>83799.8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44943.199999999997</v>
      </c>
      <c r="D37" s="16">
        <f>'Income Statement'!D11</f>
        <v>45025.7</v>
      </c>
      <c r="E37" s="16">
        <f>'Income Statement'!E11</f>
        <v>34634.800000000003</v>
      </c>
      <c r="F37" s="16">
        <f>'Income Statement'!F11</f>
        <v>33296.400000000001</v>
      </c>
      <c r="G37" s="16">
        <f>'Income Statement'!G11</f>
        <v>39739.599999999999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35405.599999999999</v>
      </c>
      <c r="D38" s="28">
        <f t="shared" ref="D38:G38" si="8">ROUND(D36- D37, 2)</f>
        <v>38012.800000000003</v>
      </c>
      <c r="E38" s="28">
        <f t="shared" si="8"/>
        <v>37070</v>
      </c>
      <c r="F38" s="28">
        <f t="shared" si="8"/>
        <v>33275.4</v>
      </c>
      <c r="G38" s="28">
        <f t="shared" si="8"/>
        <v>44060.2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80348.800000000003</v>
      </c>
      <c r="D41" s="16">
        <f>'Income Statement'!D5</f>
        <v>83038.5</v>
      </c>
      <c r="E41" s="16">
        <f>'Income Statement'!E5</f>
        <v>71704.800000000003</v>
      </c>
      <c r="F41" s="16">
        <f>'Income Statement'!F5</f>
        <v>66571.8</v>
      </c>
      <c r="G41" s="16">
        <f>'Income Statement'!G5</f>
        <v>83799.8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57802.2</v>
      </c>
      <c r="D42" s="16">
        <f>'Income Statement'!D15</f>
        <v>59949.2</v>
      </c>
      <c r="E42" s="16">
        <f>'Income Statement'!E15</f>
        <v>49940.6</v>
      </c>
      <c r="F42" s="16">
        <f>'Income Statement'!F15</f>
        <v>47565.5</v>
      </c>
      <c r="G42" s="16">
        <f>'Income Statement'!G15</f>
        <v>56319.199999999997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22546.6</v>
      </c>
      <c r="D43" s="28">
        <f t="shared" ref="D43:G43" si="9">ROUND(D41- D42, 2)</f>
        <v>23089.3</v>
      </c>
      <c r="E43" s="28">
        <f t="shared" si="9"/>
        <v>21764.2</v>
      </c>
      <c r="F43" s="28">
        <f t="shared" si="9"/>
        <v>19006.3</v>
      </c>
      <c r="G43" s="28">
        <f t="shared" si="9"/>
        <v>27480.6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15968.900000000012</v>
      </c>
      <c r="D46" s="16">
        <f>'Income Statement'!D27</f>
        <v>19581.000000000007</v>
      </c>
      <c r="E46" s="16">
        <f>'Income Statement'!E27</f>
        <v>20010.799999999996</v>
      </c>
      <c r="F46" s="16">
        <f>'Income Statement'!F27</f>
        <v>17874.800000000007</v>
      </c>
      <c r="G46" s="16">
        <f>'Income Statement'!G27</f>
        <v>25492.000000000004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60248.400000000009</v>
      </c>
      <c r="D47" s="16">
        <f>'Balance Sheet'!D40</f>
        <v>76103.600000000006</v>
      </c>
      <c r="E47" s="16">
        <f>'Balance Sheet'!E40</f>
        <v>90539.1</v>
      </c>
      <c r="F47" s="16">
        <f>'Balance Sheet'!F40</f>
        <v>111168.80000000002</v>
      </c>
      <c r="G47" s="16">
        <f>'Balance Sheet'!G40</f>
        <v>137200.70000000001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0.27</v>
      </c>
      <c r="D48" s="27">
        <f t="shared" ref="D48:G48" si="10">ROUND(D46/ D47, 2)</f>
        <v>0.26</v>
      </c>
      <c r="E48" s="27">
        <f t="shared" si="10"/>
        <v>0.22</v>
      </c>
      <c r="F48" s="27">
        <f t="shared" si="10"/>
        <v>0.16</v>
      </c>
      <c r="G48" s="27">
        <f t="shared" si="10"/>
        <v>0.19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19600.900000000012</v>
      </c>
      <c r="D51" s="16">
        <f>'Income Statement'!D19</f>
        <v>22630.100000000009</v>
      </c>
      <c r="E51" s="16">
        <f>'Income Statement'!E19</f>
        <v>21570.199999999997</v>
      </c>
      <c r="F51" s="16">
        <f>'Income Statement'!F19</f>
        <v>18908.500000000007</v>
      </c>
      <c r="G51" s="16">
        <f>'Income Statement'!G19</f>
        <v>26436.300000000003</v>
      </c>
    </row>
    <row r="52" spans="2:12" ht="19.5" thickTop="1" x14ac:dyDescent="0.25">
      <c r="B52" s="15" t="str">
        <f>'Balance Sheet'!B13</f>
        <v>Total Debt</v>
      </c>
      <c r="C52" s="16">
        <f>'Balance Sheet'!C13</f>
        <v>722.8</v>
      </c>
      <c r="D52" s="16">
        <f>'Balance Sheet'!D13</f>
        <v>771.5</v>
      </c>
      <c r="E52" s="16">
        <f>'Balance Sheet'!E13</f>
        <v>769.19999999999993</v>
      </c>
      <c r="F52" s="16">
        <f>'Balance Sheet'!F13</f>
        <v>937</v>
      </c>
      <c r="G52" s="16">
        <f>'Balance Sheet'!G13</f>
        <v>381.9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42559.4</v>
      </c>
      <c r="D53" s="16">
        <f>'Balance Sheet'!D9</f>
        <v>59227.000000000015</v>
      </c>
      <c r="E53" s="16">
        <f>'Balance Sheet'!E9</f>
        <v>76324.400000000009</v>
      </c>
      <c r="F53" s="16">
        <f>'Balance Sheet'!F9</f>
        <v>92386.700000000012</v>
      </c>
      <c r="G53" s="16">
        <f>'Balance Sheet'!G9</f>
        <v>117878.70000000001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13.56</v>
      </c>
      <c r="D54" s="27">
        <f t="shared" ref="D54:G54" si="11">ROUND(D51/ (D52+ D52), 2)</f>
        <v>14.67</v>
      </c>
      <c r="E54" s="27">
        <f t="shared" si="11"/>
        <v>14.02</v>
      </c>
      <c r="F54" s="27">
        <f t="shared" si="11"/>
        <v>10.09</v>
      </c>
      <c r="G54" s="27">
        <f t="shared" si="11"/>
        <v>34.61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15968.900000000012</v>
      </c>
      <c r="D57" s="16">
        <f>'Income Statement'!D27</f>
        <v>19581.000000000007</v>
      </c>
      <c r="E57" s="16">
        <f>'Income Statement'!E27</f>
        <v>20010.799999999996</v>
      </c>
      <c r="F57" s="16">
        <f>'Income Statement'!F27</f>
        <v>17874.800000000007</v>
      </c>
      <c r="G57" s="16">
        <f>'Income Statement'!G27</f>
        <v>25492.000000000004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42559.4</v>
      </c>
      <c r="D58" s="16">
        <f>'Balance Sheet'!D9</f>
        <v>59227.000000000015</v>
      </c>
      <c r="E58" s="16">
        <f>'Balance Sheet'!E9</f>
        <v>76324.400000000009</v>
      </c>
      <c r="F58" s="16">
        <f>'Balance Sheet'!F9</f>
        <v>92386.700000000012</v>
      </c>
      <c r="G58" s="16">
        <f>'Balance Sheet'!G9</f>
        <v>117878.70000000001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0.19</v>
      </c>
      <c r="D59" s="27">
        <f t="shared" ref="D59:G59" si="12">ROUND(D57/ (D58+ D58), 2)</f>
        <v>0.17</v>
      </c>
      <c r="E59" s="27">
        <f t="shared" si="12"/>
        <v>0.13</v>
      </c>
      <c r="F59" s="27">
        <f t="shared" si="12"/>
        <v>0.1</v>
      </c>
      <c r="G59" s="27">
        <f t="shared" si="12"/>
        <v>0.11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722.8</v>
      </c>
      <c r="D62" s="16">
        <f>'Balance Sheet'!D13</f>
        <v>771.5</v>
      </c>
      <c r="E62" s="16">
        <f>'Balance Sheet'!E13</f>
        <v>769.19999999999993</v>
      </c>
      <c r="F62" s="16">
        <f>'Balance Sheet'!F13</f>
        <v>937</v>
      </c>
      <c r="G62" s="16">
        <f>'Balance Sheet'!G13</f>
        <v>381.9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42559.4</v>
      </c>
      <c r="D63" s="16">
        <f>'Balance Sheet'!D9</f>
        <v>59227.000000000015</v>
      </c>
      <c r="E63" s="16">
        <f>'Balance Sheet'!E9</f>
        <v>76324.400000000009</v>
      </c>
      <c r="F63" s="16">
        <f>'Balance Sheet'!F9</f>
        <v>92386.700000000012</v>
      </c>
      <c r="G63" s="16">
        <f>'Balance Sheet'!G9</f>
        <v>117878.70000000001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0.02</v>
      </c>
      <c r="D64" s="17">
        <f t="shared" ref="D64:G64" si="13">ROUND(D62/ D63, 2)</f>
        <v>0.01</v>
      </c>
      <c r="E64" s="17">
        <f t="shared" si="13"/>
        <v>0.01</v>
      </c>
      <c r="F64" s="17">
        <f t="shared" si="13"/>
        <v>0.01</v>
      </c>
      <c r="G64" s="17">
        <f t="shared" si="13"/>
        <v>0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8604.4</v>
      </c>
      <c r="D67" s="16">
        <f>'Balance Sheet'!D39</f>
        <v>24576.600000000013</v>
      </c>
      <c r="E67" s="16">
        <f>'Balance Sheet'!E39</f>
        <v>42511.600000000006</v>
      </c>
      <c r="F67" s="16">
        <f>'Balance Sheet'!F39</f>
        <v>61619.300000000017</v>
      </c>
      <c r="G67" s="16">
        <f>'Balance Sheet'!G39</f>
        <v>90854.6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16950.099999999999</v>
      </c>
      <c r="D68" s="16">
        <f>'Balance Sheet'!D19</f>
        <v>16087.5</v>
      </c>
      <c r="E68" s="16">
        <f>'Balance Sheet'!E19</f>
        <v>13426.300000000001</v>
      </c>
      <c r="F68" s="16">
        <f>'Balance Sheet'!F19</f>
        <v>17845.099999999999</v>
      </c>
      <c r="G68" s="16">
        <f>'Balance Sheet'!G19</f>
        <v>18940.099999999999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0.51</v>
      </c>
      <c r="D69" s="17">
        <f t="shared" ref="D69:G69" si="14">ROUND(D67/ D68, 2)</f>
        <v>1.53</v>
      </c>
      <c r="E69" s="17">
        <f t="shared" si="14"/>
        <v>3.17</v>
      </c>
      <c r="F69" s="17">
        <f t="shared" si="14"/>
        <v>3.45</v>
      </c>
      <c r="G69" s="17">
        <f t="shared" si="14"/>
        <v>4.8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8604.4</v>
      </c>
      <c r="D72" s="16">
        <f>'Balance Sheet'!D39</f>
        <v>24576.600000000013</v>
      </c>
      <c r="E72" s="16">
        <f>'Balance Sheet'!E39</f>
        <v>42511.600000000006</v>
      </c>
      <c r="F72" s="16">
        <f>'Balance Sheet'!F39</f>
        <v>61619.300000000017</v>
      </c>
      <c r="G72" s="16">
        <f>'Balance Sheet'!G39</f>
        <v>90854.6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3160.2</v>
      </c>
      <c r="D73" s="16">
        <f>'Balance Sheet'!D36</f>
        <v>3322.6</v>
      </c>
      <c r="E73" s="16">
        <f>'Balance Sheet'!E36</f>
        <v>3213.9</v>
      </c>
      <c r="F73" s="16">
        <f>'Balance Sheet'!F36</f>
        <v>3049</v>
      </c>
      <c r="G73" s="16">
        <f>'Balance Sheet'!G36</f>
        <v>3532.3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16950.099999999999</v>
      </c>
      <c r="D74" s="16">
        <f>'Balance Sheet'!D19</f>
        <v>16087.5</v>
      </c>
      <c r="E74" s="16">
        <f>'Balance Sheet'!E19</f>
        <v>13426.300000000001</v>
      </c>
      <c r="F74" s="16">
        <f>'Balance Sheet'!F19</f>
        <v>17845.099999999999</v>
      </c>
      <c r="G74" s="16">
        <f>'Balance Sheet'!G19</f>
        <v>18940.099999999999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0.32</v>
      </c>
      <c r="D75" s="17">
        <f t="shared" ref="D75:G75" si="15">ROUND((D72-D73)/ D74, 2)</f>
        <v>1.32</v>
      </c>
      <c r="E75" s="17">
        <f t="shared" si="15"/>
        <v>2.93</v>
      </c>
      <c r="F75" s="17">
        <f t="shared" si="15"/>
        <v>3.28</v>
      </c>
      <c r="G75" s="17">
        <f t="shared" si="15"/>
        <v>4.6100000000000003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19600.900000000012</v>
      </c>
      <c r="D78" s="16">
        <f>'Income Statement'!D19</f>
        <v>22630.100000000009</v>
      </c>
      <c r="E78" s="16">
        <f>'Income Statement'!E19</f>
        <v>21570.199999999997</v>
      </c>
      <c r="F78" s="16">
        <f>'Income Statement'!F19</f>
        <v>18908.500000000007</v>
      </c>
      <c r="G78" s="16">
        <f>'Income Statement'!G19</f>
        <v>26436.300000000003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345.8</v>
      </c>
      <c r="D79" s="16">
        <f>'Income Statement'!D20</f>
        <v>75.900000000000006</v>
      </c>
      <c r="E79" s="16">
        <f>'Income Statement'!E20</f>
        <v>134.19999999999999</v>
      </c>
      <c r="F79" s="16">
        <f>'Income Statement'!F20</f>
        <v>101.8</v>
      </c>
      <c r="G79" s="16">
        <f>'Income Statement'!G20</f>
        <v>126.6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56.68</v>
      </c>
      <c r="D80" s="17">
        <f t="shared" ref="D80:G80" si="16">ROUND(D78/D79, 2)</f>
        <v>298.16000000000003</v>
      </c>
      <c r="E80" s="17">
        <f t="shared" si="16"/>
        <v>160.72999999999999</v>
      </c>
      <c r="F80" s="17">
        <f t="shared" si="16"/>
        <v>185.74</v>
      </c>
      <c r="G80" s="17">
        <f t="shared" si="16"/>
        <v>208.82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44943.199999999997</v>
      </c>
      <c r="D83" s="16">
        <f>'Income Statement'!D11</f>
        <v>45025.7</v>
      </c>
      <c r="E83" s="16">
        <f>'Income Statement'!E11</f>
        <v>34634.800000000003</v>
      </c>
      <c r="F83" s="16">
        <f>'Income Statement'!F11</f>
        <v>33296.400000000001</v>
      </c>
      <c r="G83" s="16">
        <f>'Income Statement'!G11</f>
        <v>39739.599999999999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78117.100000000006</v>
      </c>
      <c r="D84" s="16">
        <f>'Income Statement'!D7</f>
        <v>83038.5</v>
      </c>
      <c r="E84" s="16">
        <f>'Income Statement'!E7</f>
        <v>71704.800000000003</v>
      </c>
      <c r="F84" s="16">
        <f>'Income Statement'!F7</f>
        <v>66571.8</v>
      </c>
      <c r="G84" s="16">
        <f>'Income Statement'!G7</f>
        <v>83799.8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0.57999999999999996</v>
      </c>
      <c r="D85" s="17">
        <f t="shared" ref="D85:G85" si="17">ROUND(D83/D84, 2)</f>
        <v>0.54</v>
      </c>
      <c r="E85" s="17">
        <f t="shared" si="17"/>
        <v>0.48</v>
      </c>
      <c r="F85" s="17">
        <f t="shared" si="17"/>
        <v>0.5</v>
      </c>
      <c r="G85" s="17">
        <f t="shared" si="17"/>
        <v>0.47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74</v>
      </c>
      <c r="D88" s="16">
        <f>'Balance Sheet'!D38</f>
        <v>15343.500000000013</v>
      </c>
      <c r="E88" s="16">
        <f>'Balance Sheet'!E38</f>
        <v>33560.500000000007</v>
      </c>
      <c r="F88" s="16">
        <f>'Balance Sheet'!F38</f>
        <v>52814.000000000015</v>
      </c>
      <c r="G88" s="16">
        <f>'Balance Sheet'!G38</f>
        <v>77959.700000000012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44943.199999999997</v>
      </c>
      <c r="D89" s="16">
        <f>'Income Statement'!D11</f>
        <v>45025.7</v>
      </c>
      <c r="E89" s="16">
        <f>'Income Statement'!E11</f>
        <v>34634.800000000003</v>
      </c>
      <c r="F89" s="16">
        <f>'Income Statement'!F11</f>
        <v>33296.400000000001</v>
      </c>
      <c r="G89" s="16">
        <f>'Income Statement'!G11</f>
        <v>39739.599999999999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0.6</v>
      </c>
      <c r="D90" s="17">
        <f t="shared" ref="D90:G90" si="18">ROUND(D88/D89*365, 2)</f>
        <v>124.38</v>
      </c>
      <c r="E90" s="17">
        <f t="shared" si="18"/>
        <v>353.68</v>
      </c>
      <c r="F90" s="17">
        <f t="shared" si="18"/>
        <v>578.95000000000005</v>
      </c>
      <c r="G90" s="17">
        <f t="shared" si="18"/>
        <v>716.04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74</v>
      </c>
      <c r="D93" s="16">
        <f>'Balance Sheet'!D38</f>
        <v>15343.500000000013</v>
      </c>
      <c r="E93" s="16">
        <f>'Balance Sheet'!E38</f>
        <v>33560.500000000007</v>
      </c>
      <c r="F93" s="16">
        <f>'Balance Sheet'!F38</f>
        <v>52814.000000000015</v>
      </c>
      <c r="G93" s="16">
        <f>'Balance Sheet'!G38</f>
        <v>77959.700000000012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74</v>
      </c>
      <c r="D95" s="17">
        <f t="shared" ref="D95:G95" si="19">ROUND(D93/D94*365, 2)</f>
        <v>15343.5</v>
      </c>
      <c r="E95" s="17">
        <f t="shared" si="19"/>
        <v>33560.5</v>
      </c>
      <c r="F95" s="17">
        <f t="shared" si="19"/>
        <v>52814</v>
      </c>
      <c r="G95" s="17">
        <f t="shared" si="19"/>
        <v>77959.7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80348.800000000003</v>
      </c>
      <c r="D98" s="16">
        <f>'Income Statement'!D5</f>
        <v>83038.5</v>
      </c>
      <c r="E98" s="16">
        <f>'Income Statement'!E5</f>
        <v>71704.800000000003</v>
      </c>
      <c r="F98" s="16">
        <f>'Income Statement'!F5</f>
        <v>66571.8</v>
      </c>
      <c r="G98" s="16">
        <f>'Income Statement'!G5</f>
        <v>83799.8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60248.400000000009</v>
      </c>
      <c r="D99" s="16">
        <f>'Balance Sheet'!D40</f>
        <v>76103.600000000006</v>
      </c>
      <c r="E99" s="16">
        <f>'Balance Sheet'!E40</f>
        <v>90539.1</v>
      </c>
      <c r="F99" s="16">
        <f>'Balance Sheet'!F40</f>
        <v>111168.80000000002</v>
      </c>
      <c r="G99" s="16">
        <f>'Balance Sheet'!G40</f>
        <v>137200.70000000001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1.33</v>
      </c>
      <c r="D100" s="17">
        <f t="shared" ref="D100:G100" si="20">ROUND(D98/D99, 2)</f>
        <v>1.0900000000000001</v>
      </c>
      <c r="E100" s="17">
        <f t="shared" si="20"/>
        <v>0.79</v>
      </c>
      <c r="F100" s="17">
        <f t="shared" si="20"/>
        <v>0.6</v>
      </c>
      <c r="G100" s="17">
        <f t="shared" si="20"/>
        <v>0.61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80348.800000000003</v>
      </c>
      <c r="D103" s="16">
        <f>'Income Statement'!D5</f>
        <v>83038.5</v>
      </c>
      <c r="E103" s="16">
        <f>'Income Statement'!E5</f>
        <v>71704.800000000003</v>
      </c>
      <c r="F103" s="16">
        <f>'Income Statement'!F5</f>
        <v>66571.8</v>
      </c>
      <c r="G103" s="16">
        <f>'Income Statement'!G5</f>
        <v>83799.8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3160.2</v>
      </c>
      <c r="D104" s="16">
        <f>'Balance Sheet'!D36</f>
        <v>3322.6</v>
      </c>
      <c r="E104" s="16">
        <f>'Balance Sheet'!E36</f>
        <v>3213.9</v>
      </c>
      <c r="F104" s="16">
        <f>'Balance Sheet'!F36</f>
        <v>3049</v>
      </c>
      <c r="G104" s="16">
        <f>'Balance Sheet'!G36</f>
        <v>3532.3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25.43</v>
      </c>
      <c r="D105" s="17">
        <f t="shared" ref="D105:G105" si="21">ROUND(D103/D104, 2)</f>
        <v>24.99</v>
      </c>
      <c r="E105" s="17">
        <f t="shared" si="21"/>
        <v>22.31</v>
      </c>
      <c r="F105" s="17">
        <f t="shared" si="21"/>
        <v>21.83</v>
      </c>
      <c r="G105" s="17">
        <f t="shared" si="21"/>
        <v>23.72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80348.800000000003</v>
      </c>
      <c r="D108" s="16">
        <f>'Income Statement'!D5</f>
        <v>83038.5</v>
      </c>
      <c r="E108" s="16">
        <f>'Income Statement'!E5</f>
        <v>71704.800000000003</v>
      </c>
      <c r="F108" s="16">
        <f>'Income Statement'!F5</f>
        <v>66571.8</v>
      </c>
      <c r="G108" s="16">
        <f>'Income Statement'!G5</f>
        <v>83799.8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1465.4</v>
      </c>
      <c r="D109" s="16">
        <f>'Balance Sheet'!D37</f>
        <v>2312.8000000000002</v>
      </c>
      <c r="E109" s="16">
        <f>'Balance Sheet'!E37</f>
        <v>1977.7</v>
      </c>
      <c r="F109" s="16">
        <f>'Balance Sheet'!F37</f>
        <v>1279.9000000000001</v>
      </c>
      <c r="G109" s="16">
        <f>'Balance Sheet'!G37</f>
        <v>2034.5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54.83</v>
      </c>
      <c r="D110" s="17">
        <f t="shared" ref="D110:G110" si="22">ROUND(D108/D109, 2)</f>
        <v>35.9</v>
      </c>
      <c r="E110" s="17">
        <f t="shared" si="22"/>
        <v>36.26</v>
      </c>
      <c r="F110" s="17">
        <f t="shared" si="22"/>
        <v>52.01</v>
      </c>
      <c r="G110" s="17">
        <f t="shared" si="22"/>
        <v>41.19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80348.800000000003</v>
      </c>
      <c r="D113" s="16">
        <f>'Income Statement'!D5</f>
        <v>83038.5</v>
      </c>
      <c r="E113" s="16">
        <f>'Income Statement'!E5</f>
        <v>71704.800000000003</v>
      </c>
      <c r="F113" s="16">
        <f>'Income Statement'!F5</f>
        <v>66571.8</v>
      </c>
      <c r="G113" s="16">
        <f>'Income Statement'!G5</f>
        <v>83799.8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13077.1</v>
      </c>
      <c r="D114" s="16">
        <f>'Balance Sheet'!D23</f>
        <v>14986.2</v>
      </c>
      <c r="E114" s="16">
        <f>'Balance Sheet'!E23</f>
        <v>15408.6</v>
      </c>
      <c r="F114" s="16">
        <f>'Balance Sheet'!F23</f>
        <v>14764.5</v>
      </c>
      <c r="G114" s="16">
        <f>'Balance Sheet'!G23</f>
        <v>16683.7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6.14</v>
      </c>
      <c r="D115" s="17">
        <f t="shared" ref="D115:G115" si="23">ROUND(D113/D114, 2)</f>
        <v>5.54</v>
      </c>
      <c r="E115" s="17">
        <f t="shared" si="23"/>
        <v>4.6500000000000004</v>
      </c>
      <c r="F115" s="17">
        <f t="shared" si="23"/>
        <v>4.51</v>
      </c>
      <c r="G115" s="17">
        <f t="shared" si="23"/>
        <v>5.0199999999999996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44943.199999999997</v>
      </c>
      <c r="D118" s="16">
        <f>'Income Statement'!D11</f>
        <v>45025.7</v>
      </c>
      <c r="E118" s="16">
        <f>'Income Statement'!E11</f>
        <v>34634.800000000003</v>
      </c>
      <c r="F118" s="16">
        <f>'Income Statement'!F11</f>
        <v>33296.400000000001</v>
      </c>
      <c r="G118" s="16">
        <f>'Income Statement'!G11</f>
        <v>39739.599999999999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16950.099999999999</v>
      </c>
      <c r="D119" s="16">
        <f>'Balance Sheet'!D19</f>
        <v>16087.5</v>
      </c>
      <c r="E119" s="16">
        <f>'Balance Sheet'!E19</f>
        <v>13426.300000000001</v>
      </c>
      <c r="F119" s="16">
        <f>'Balance Sheet'!F19</f>
        <v>17845.099999999999</v>
      </c>
      <c r="G119" s="16">
        <f>'Balance Sheet'!G19</f>
        <v>18940.099999999999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2.65</v>
      </c>
      <c r="D120" s="17">
        <f t="shared" ref="D120:G120" si="24">ROUND(D118/D119, 2)</f>
        <v>2.8</v>
      </c>
      <c r="E120" s="17">
        <f t="shared" si="24"/>
        <v>2.58</v>
      </c>
      <c r="F120" s="17">
        <f t="shared" si="24"/>
        <v>1.87</v>
      </c>
      <c r="G120" s="17">
        <f t="shared" si="24"/>
        <v>2.1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80348.800000000003</v>
      </c>
      <c r="D123" s="16">
        <f>'Income Statement'!D5</f>
        <v>83038.5</v>
      </c>
      <c r="E123" s="16">
        <f>'Income Statement'!E5</f>
        <v>71704.800000000003</v>
      </c>
      <c r="F123" s="16">
        <f>'Income Statement'!F5</f>
        <v>66571.8</v>
      </c>
      <c r="G123" s="16">
        <f>'Income Statement'!G5</f>
        <v>83799.8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3160.2</v>
      </c>
      <c r="D124" s="16">
        <f>'Balance Sheet'!D36</f>
        <v>3322.6</v>
      </c>
      <c r="E124" s="16">
        <f>'Balance Sheet'!E36</f>
        <v>3213.9</v>
      </c>
      <c r="F124" s="16">
        <f>'Balance Sheet'!F36</f>
        <v>3049</v>
      </c>
      <c r="G124" s="16">
        <f>'Balance Sheet'!G36</f>
        <v>3532.3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14.36</v>
      </c>
      <c r="D125" s="17">
        <f t="shared" ref="D125:G125" si="25">ROUND(365/D123*D124, 2)</f>
        <v>14.6</v>
      </c>
      <c r="E125" s="17">
        <f t="shared" si="25"/>
        <v>16.36</v>
      </c>
      <c r="F125" s="17">
        <f t="shared" si="25"/>
        <v>16.72</v>
      </c>
      <c r="G125" s="17">
        <f t="shared" si="25"/>
        <v>15.39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44943.199999999997</v>
      </c>
      <c r="D128" s="16">
        <f>'Income Statement'!D11</f>
        <v>45025.7</v>
      </c>
      <c r="E128" s="16">
        <f>'Income Statement'!E11</f>
        <v>34634.800000000003</v>
      </c>
      <c r="F128" s="16">
        <f>'Income Statement'!F11</f>
        <v>33296.400000000001</v>
      </c>
      <c r="G128" s="16">
        <f>'Income Statement'!G11</f>
        <v>39739.599999999999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16950.099999999999</v>
      </c>
      <c r="D129" s="16">
        <f>'Balance Sheet'!D19</f>
        <v>16087.5</v>
      </c>
      <c r="E129" s="16">
        <f>'Balance Sheet'!E19</f>
        <v>13426.300000000001</v>
      </c>
      <c r="F129" s="16">
        <f>'Balance Sheet'!F19</f>
        <v>17845.099999999999</v>
      </c>
      <c r="G129" s="16">
        <f>'Balance Sheet'!G19</f>
        <v>18940.099999999999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137.66</v>
      </c>
      <c r="D130" s="17">
        <f t="shared" ref="D130:G130" si="26">ROUND(365/D128*D129, 2)</f>
        <v>130.41</v>
      </c>
      <c r="E130" s="17">
        <f t="shared" si="26"/>
        <v>141.49</v>
      </c>
      <c r="F130" s="17">
        <f t="shared" si="26"/>
        <v>195.62</v>
      </c>
      <c r="G130" s="17">
        <f t="shared" si="26"/>
        <v>173.96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80348.800000000003</v>
      </c>
      <c r="D133" s="16">
        <f>'Income Statement'!D5</f>
        <v>83038.5</v>
      </c>
      <c r="E133" s="16">
        <f>'Income Statement'!E5</f>
        <v>71704.800000000003</v>
      </c>
      <c r="F133" s="16">
        <f>'Income Statement'!F5</f>
        <v>66571.8</v>
      </c>
      <c r="G133" s="16">
        <f>'Income Statement'!G5</f>
        <v>83799.8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1465.4</v>
      </c>
      <c r="D134" s="16">
        <f>'Balance Sheet'!D37</f>
        <v>2312.8000000000002</v>
      </c>
      <c r="E134" s="16">
        <f>'Balance Sheet'!E37</f>
        <v>1977.7</v>
      </c>
      <c r="F134" s="16">
        <f>'Balance Sheet'!F37</f>
        <v>1279.9000000000001</v>
      </c>
      <c r="G134" s="16">
        <f>'Balance Sheet'!G37</f>
        <v>2034.5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6.66</v>
      </c>
      <c r="D135" s="17">
        <f t="shared" ref="D135:G135" si="27">ROUND(365/D133*D134, 2)</f>
        <v>10.17</v>
      </c>
      <c r="E135" s="17">
        <f t="shared" si="27"/>
        <v>10.07</v>
      </c>
      <c r="F135" s="17">
        <f t="shared" si="27"/>
        <v>7.02</v>
      </c>
      <c r="G135" s="17">
        <f t="shared" si="27"/>
        <v>8.86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80348.800000000003</v>
      </c>
      <c r="D138" s="16">
        <f>'Income Statement'!D5</f>
        <v>83038.5</v>
      </c>
      <c r="E138" s="16">
        <f>'Income Statement'!E5</f>
        <v>71704.800000000003</v>
      </c>
      <c r="F138" s="16">
        <f>'Income Statement'!F5</f>
        <v>66571.8</v>
      </c>
      <c r="G138" s="16">
        <f>'Income Statement'!G5</f>
        <v>83799.8</v>
      </c>
    </row>
    <row r="139" spans="2:12" ht="18.75" x14ac:dyDescent="0.25">
      <c r="B139" s="15" t="str">
        <f>'Balance Sheet'!B36</f>
        <v>Inventories</v>
      </c>
      <c r="C139" s="16">
        <f>'Balance Sheet'!C36</f>
        <v>3160.2</v>
      </c>
      <c r="D139" s="16">
        <f>'Balance Sheet'!D36</f>
        <v>3322.6</v>
      </c>
      <c r="E139" s="16">
        <f>'Balance Sheet'!E36</f>
        <v>3213.9</v>
      </c>
      <c r="F139" s="16">
        <f>'Balance Sheet'!F36</f>
        <v>3049</v>
      </c>
      <c r="G139" s="16">
        <f>'Balance Sheet'!G36</f>
        <v>3532.3</v>
      </c>
    </row>
    <row r="140" spans="2:12" ht="18.75" x14ac:dyDescent="0.25">
      <c r="B140" s="15" t="s">
        <v>192</v>
      </c>
      <c r="C140" s="16">
        <f>ROUND(365/C138*C139, 2)</f>
        <v>14.36</v>
      </c>
      <c r="D140" s="16">
        <f t="shared" ref="D140:G140" si="28">ROUND(365/D138*D139, 2)</f>
        <v>14.6</v>
      </c>
      <c r="E140" s="16">
        <f t="shared" si="28"/>
        <v>16.36</v>
      </c>
      <c r="F140" s="16">
        <f t="shared" si="28"/>
        <v>16.72</v>
      </c>
      <c r="G140" s="16">
        <f t="shared" si="28"/>
        <v>15.39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44943.199999999997</v>
      </c>
      <c r="D141" s="16">
        <f>'Income Statement'!D11</f>
        <v>45025.7</v>
      </c>
      <c r="E141" s="16">
        <f>'Income Statement'!E11</f>
        <v>34634.800000000003</v>
      </c>
      <c r="F141" s="16">
        <f>'Income Statement'!F11</f>
        <v>33296.400000000001</v>
      </c>
      <c r="G141" s="16">
        <f>'Income Statement'!G11</f>
        <v>39739.599999999999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16950.099999999999</v>
      </c>
      <c r="D142" s="16">
        <f>'Balance Sheet'!D19</f>
        <v>16087.5</v>
      </c>
      <c r="E142" s="16">
        <f>'Balance Sheet'!E19</f>
        <v>13426.300000000001</v>
      </c>
      <c r="F142" s="16">
        <f>'Balance Sheet'!F19</f>
        <v>17845.099999999999</v>
      </c>
      <c r="G142" s="16">
        <f>'Balance Sheet'!G19</f>
        <v>18940.099999999999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137.66</v>
      </c>
      <c r="D143" s="16">
        <f t="shared" ref="D143:G143" si="29">ROUND(365/D141*D142, 2)</f>
        <v>130.41</v>
      </c>
      <c r="E143" s="16">
        <f t="shared" si="29"/>
        <v>141.49</v>
      </c>
      <c r="F143" s="16">
        <f t="shared" si="29"/>
        <v>195.62</v>
      </c>
      <c r="G143" s="16">
        <f t="shared" si="29"/>
        <v>173.96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152.02000000000001</v>
      </c>
      <c r="D144" s="28">
        <f t="shared" ref="D144:G144" si="30">ROUND(D143+D140, 2)</f>
        <v>145.01</v>
      </c>
      <c r="E144" s="28">
        <f t="shared" si="30"/>
        <v>157.85</v>
      </c>
      <c r="F144" s="28">
        <f t="shared" si="30"/>
        <v>212.34</v>
      </c>
      <c r="G144" s="28">
        <f t="shared" si="30"/>
        <v>189.35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80348.800000000003</v>
      </c>
      <c r="D147" s="16">
        <f>'Income Statement'!D5</f>
        <v>83038.5</v>
      </c>
      <c r="E147" s="16">
        <f>'Income Statement'!E5</f>
        <v>71704.800000000003</v>
      </c>
      <c r="F147" s="16">
        <f>'Income Statement'!F5</f>
        <v>66571.8</v>
      </c>
      <c r="G147" s="16">
        <f>'Income Statement'!G5</f>
        <v>83799.8</v>
      </c>
    </row>
    <row r="148" spans="2:12" ht="18.75" x14ac:dyDescent="0.25">
      <c r="B148" s="15" t="str">
        <f>'Balance Sheet'!B36</f>
        <v>Inventories</v>
      </c>
      <c r="C148" s="16">
        <f>'Balance Sheet'!C36</f>
        <v>3160.2</v>
      </c>
      <c r="D148" s="16">
        <f>'Balance Sheet'!D36</f>
        <v>3322.6</v>
      </c>
      <c r="E148" s="16">
        <f>'Balance Sheet'!E36</f>
        <v>3213.9</v>
      </c>
      <c r="F148" s="16">
        <f>'Balance Sheet'!F36</f>
        <v>3049</v>
      </c>
      <c r="G148" s="16">
        <f>'Balance Sheet'!G36</f>
        <v>3532.3</v>
      </c>
    </row>
    <row r="149" spans="2:12" ht="18.75" x14ac:dyDescent="0.25">
      <c r="B149" s="15" t="s">
        <v>192</v>
      </c>
      <c r="C149" s="16">
        <f>ROUND(365/C147*C148, 2)</f>
        <v>14.36</v>
      </c>
      <c r="D149" s="16">
        <f t="shared" ref="D149:G149" si="31">ROUND(365/D147*D148, 2)</f>
        <v>14.6</v>
      </c>
      <c r="E149" s="16">
        <f t="shared" si="31"/>
        <v>16.36</v>
      </c>
      <c r="F149" s="16">
        <f t="shared" si="31"/>
        <v>16.72</v>
      </c>
      <c r="G149" s="16">
        <f t="shared" si="31"/>
        <v>15.39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44943.199999999997</v>
      </c>
      <c r="D150" s="16">
        <f>'Income Statement'!D11</f>
        <v>45025.7</v>
      </c>
      <c r="E150" s="16">
        <f>'Income Statement'!E11</f>
        <v>34634.800000000003</v>
      </c>
      <c r="F150" s="16">
        <f>'Income Statement'!F11</f>
        <v>33296.400000000001</v>
      </c>
      <c r="G150" s="16">
        <f>'Income Statement'!G11</f>
        <v>39739.599999999999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16950.099999999999</v>
      </c>
      <c r="D151" s="16">
        <f>'Balance Sheet'!D19</f>
        <v>16087.5</v>
      </c>
      <c r="E151" s="16">
        <f>'Balance Sheet'!E19</f>
        <v>13426.300000000001</v>
      </c>
      <c r="F151" s="16">
        <f>'Balance Sheet'!F19</f>
        <v>17845.099999999999</v>
      </c>
      <c r="G151" s="16">
        <f>'Balance Sheet'!G19</f>
        <v>18940.099999999999</v>
      </c>
    </row>
    <row r="152" spans="2:12" ht="18.75" x14ac:dyDescent="0.25">
      <c r="B152" s="15" t="s">
        <v>194</v>
      </c>
      <c r="C152" s="16">
        <f>ROUND(365/C150*C151, 2)</f>
        <v>137.66</v>
      </c>
      <c r="D152" s="16">
        <f t="shared" ref="D152:G152" si="32">ROUND(365/D150*D151, 2)</f>
        <v>130.41</v>
      </c>
      <c r="E152" s="16">
        <f t="shared" si="32"/>
        <v>141.49</v>
      </c>
      <c r="F152" s="16">
        <f t="shared" si="32"/>
        <v>195.62</v>
      </c>
      <c r="G152" s="16">
        <f t="shared" si="32"/>
        <v>173.96</v>
      </c>
    </row>
    <row r="153" spans="2:12" ht="18.75" x14ac:dyDescent="0.25">
      <c r="B153" s="15" t="s">
        <v>200</v>
      </c>
      <c r="C153" s="16">
        <f>ROUND(C152+C149, 2)</f>
        <v>152.02000000000001</v>
      </c>
      <c r="D153" s="16">
        <f t="shared" ref="D153:G153" si="33">ROUND(D152+D149, 2)</f>
        <v>145.01</v>
      </c>
      <c r="E153" s="16">
        <f t="shared" si="33"/>
        <v>157.85</v>
      </c>
      <c r="F153" s="16">
        <f t="shared" si="33"/>
        <v>212.34</v>
      </c>
      <c r="G153" s="16">
        <f t="shared" si="33"/>
        <v>189.35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44943.199999999997</v>
      </c>
      <c r="D154" s="16">
        <f>'Income Statement'!D11</f>
        <v>45025.7</v>
      </c>
      <c r="E154" s="16">
        <f>'Income Statement'!E11</f>
        <v>34634.800000000003</v>
      </c>
      <c r="F154" s="16">
        <f>'Income Statement'!F11</f>
        <v>33296.400000000001</v>
      </c>
      <c r="G154" s="16">
        <f>'Income Statement'!G11</f>
        <v>39739.599999999999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16950.099999999999</v>
      </c>
      <c r="D155" s="16">
        <f>'Balance Sheet'!D19</f>
        <v>16087.5</v>
      </c>
      <c r="E155" s="16">
        <f>'Balance Sheet'!E19</f>
        <v>13426.300000000001</v>
      </c>
      <c r="F155" s="16">
        <f>'Balance Sheet'!F19</f>
        <v>17845.099999999999</v>
      </c>
      <c r="G155" s="16">
        <f>'Balance Sheet'!G19</f>
        <v>18940.099999999999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137.66</v>
      </c>
      <c r="D156" s="16">
        <f t="shared" ref="D156:G156" si="34">ROUND(365/D154*D155, 2)</f>
        <v>130.41</v>
      </c>
      <c r="E156" s="16">
        <f t="shared" si="34"/>
        <v>141.49</v>
      </c>
      <c r="F156" s="16">
        <f t="shared" si="34"/>
        <v>195.62</v>
      </c>
      <c r="G156" s="16">
        <f t="shared" si="34"/>
        <v>173.96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-14.36</v>
      </c>
      <c r="D157" s="28">
        <f t="shared" ref="D157:G157" si="35">ROUND(D156-D153, 2)</f>
        <v>-14.6</v>
      </c>
      <c r="E157" s="28">
        <f t="shared" si="35"/>
        <v>-16.36</v>
      </c>
      <c r="F157" s="28">
        <f t="shared" si="35"/>
        <v>-16.72</v>
      </c>
      <c r="G157" s="28">
        <f t="shared" si="35"/>
        <v>-15.39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C1417207-8403-424B-95D9-16694B84884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DD0E94A2-31E7-4883-B696-F5C292B4A26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CF46534B-C801-4832-99E3-7E9C8BB072F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4ACB4B5B-9366-43CF-8DB6-65A68BD3089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BAD00B7E-5A3E-4AF9-8047-09FDFD99F81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F1235390-EFF8-4661-AD44-DFFCD9AC878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0AB49850-24BD-483A-8B72-AF2ED45FD89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B4611E78-8B7B-4AEE-A23E-13133E1216B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188E0823-AED5-424F-AC74-D2F4C89DC0D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DFE736D5-49B9-436C-9764-E257FD2658F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F7ED4314-FD87-4C4B-9A8B-7A105F7A2D6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550E4FD0-7BB0-4F5A-8EB6-2D4B3E6D136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1596138F-7746-4E73-BACE-05C0CFB5309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06E2184C-106B-4C55-AD25-26EECD24428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7E84959D-3DF0-4C17-8203-1A5CFC9A518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566D9AD3-DC93-416A-8157-F3130198910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B9BB05FD-3DC9-4F57-912F-C60CF03B56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589EC426-6282-4E89-8232-6E1C35008D1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15CF09F7-6F78-4F58-AAC0-DD55CC3F411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0631CDA6-562F-40E5-8314-CC064AD9ED4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A767B001-5BD7-4E9F-9F37-AF59AF3AAA2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84FADE72-492C-4440-A1B9-52923727022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258EC682-F01B-488D-BB4C-48FA1BF30F0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A5FBE6A7-EDAE-4014-88CD-4EB4C27CF57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9F64903E-AC9B-418F-BBD1-0D97ECC71BF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0FBFD542-3FD7-499C-9809-1A4451185A3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3A0F6451-9980-4F69-8AC1-CCDC0787A84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C7F1A-BC09-4915-BFD5-A3597AEB84B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15968.900000000012</v>
      </c>
      <c r="D6" s="16">
        <f>'Income Statement'!D27</f>
        <v>19581.000000000007</v>
      </c>
      <c r="E6" s="16">
        <f>'Income Statement'!E27</f>
        <v>20010.799999999996</v>
      </c>
      <c r="F6" s="16">
        <f>'Income Statement'!F27</f>
        <v>17874.800000000007</v>
      </c>
      <c r="G6" s="16">
        <f>'Income Statement'!G27</f>
        <v>25492.000000000004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61.183524904214607</v>
      </c>
      <c r="D7" s="16">
        <f>'Income Statement'!D35</f>
        <v>77.395256916996075</v>
      </c>
      <c r="E7" s="16">
        <f>'Income Statement'!E35</f>
        <v>106.44042553191487</v>
      </c>
      <c r="F7" s="16">
        <f>'Income Statement'!F35</f>
        <v>123.27448275862074</v>
      </c>
      <c r="G7" s="16">
        <f>'Income Statement'!G35</f>
        <v>199.15625000000003</v>
      </c>
    </row>
    <row r="8" spans="2:7" ht="18.75" x14ac:dyDescent="0.25">
      <c r="B8" s="17" t="s">
        <v>146</v>
      </c>
      <c r="C8" s="17">
        <f>ROUND(C6/C7, 2)</f>
        <v>261</v>
      </c>
      <c r="D8" s="17">
        <f t="shared" ref="D8:G8" si="0">ROUND(D6/D7, 2)</f>
        <v>253</v>
      </c>
      <c r="E8" s="17">
        <f t="shared" si="0"/>
        <v>188</v>
      </c>
      <c r="F8" s="17">
        <f t="shared" si="0"/>
        <v>145</v>
      </c>
      <c r="G8" s="17">
        <f t="shared" si="0"/>
        <v>128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26B2CE-8ECD-4645-976E-A0C4AC9B959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2265.6</v>
      </c>
      <c r="D6" s="16">
        <f>'Income Statement'!D28</f>
        <v>2416.6</v>
      </c>
      <c r="E6" s="16">
        <f>'Income Statement'!E28</f>
        <v>2416.6</v>
      </c>
      <c r="F6" s="16">
        <f>'Income Statement'!F28</f>
        <v>1812.5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61.183524904214607</v>
      </c>
      <c r="D7" s="16">
        <f>'Income Statement'!D35</f>
        <v>77.395256916996075</v>
      </c>
      <c r="E7" s="16">
        <f>'Income Statement'!E35</f>
        <v>106.44042553191487</v>
      </c>
      <c r="F7" s="16">
        <f>'Income Statement'!F35</f>
        <v>123.27448275862074</v>
      </c>
      <c r="G7" s="16">
        <f>'Income Statement'!G35</f>
        <v>199.15625000000003</v>
      </c>
    </row>
    <row r="8" spans="2:7" ht="18.75" x14ac:dyDescent="0.25">
      <c r="B8" s="17" t="s">
        <v>148</v>
      </c>
      <c r="C8" s="17">
        <f>ROUND(C6/C7, 2)</f>
        <v>37.03</v>
      </c>
      <c r="D8" s="17">
        <f t="shared" ref="D8:G8" si="0">ROUND(D6/D7, 2)</f>
        <v>31.22</v>
      </c>
      <c r="E8" s="17">
        <f t="shared" si="0"/>
        <v>22.7</v>
      </c>
      <c r="F8" s="17">
        <f t="shared" si="0"/>
        <v>14.7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22778-D2BA-4624-AF7D-3BD05096A30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42559.4</v>
      </c>
      <c r="D6" s="16">
        <f>'Balance Sheet'!D9</f>
        <v>59227.000000000015</v>
      </c>
      <c r="E6" s="16">
        <f>'Balance Sheet'!E9</f>
        <v>76324.400000000009</v>
      </c>
      <c r="F6" s="16">
        <f>'Balance Sheet'!F9</f>
        <v>92386.700000000012</v>
      </c>
      <c r="G6" s="16">
        <f>'Balance Sheet'!G9</f>
        <v>117878.70000000001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61.183524904214607</v>
      </c>
      <c r="D7" s="16">
        <f>'Income Statement'!D35</f>
        <v>77.395256916996075</v>
      </c>
      <c r="E7" s="16">
        <f>'Income Statement'!E35</f>
        <v>106.44042553191487</v>
      </c>
      <c r="F7" s="16">
        <f>'Income Statement'!F35</f>
        <v>123.27448275862074</v>
      </c>
      <c r="G7" s="16">
        <f>'Income Statement'!G35</f>
        <v>199.15625000000003</v>
      </c>
    </row>
    <row r="8" spans="2:7" ht="18.75" x14ac:dyDescent="0.25">
      <c r="B8" s="17" t="s">
        <v>150</v>
      </c>
      <c r="C8" s="17">
        <f>ROUND(C6/C7, 2)</f>
        <v>695.6</v>
      </c>
      <c r="D8" s="17">
        <f t="shared" ref="D8:G8" si="0">ROUND(D6/D7, 2)</f>
        <v>765.25</v>
      </c>
      <c r="E8" s="17">
        <f t="shared" si="0"/>
        <v>717.06</v>
      </c>
      <c r="F8" s="17">
        <f t="shared" si="0"/>
        <v>749.44</v>
      </c>
      <c r="G8" s="17">
        <f t="shared" si="0"/>
        <v>591.89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2022-07-03T11:22:55Z</dcterms:created>
  <dcterms:modified xsi:type="dcterms:W3CDTF">2022-07-04T07:11:17Z</dcterms:modified>
</cp:coreProperties>
</file>