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72AEDD5A-642F-4724-BB1B-3F504B3F602E}" xr6:coauthVersionLast="47" xr6:coauthVersionMax="47" xr10:uidLastSave="{00000000-0000-0000-0000-000000000000}"/>
  <bookViews>
    <workbookView xWindow="-120" yWindow="-120" windowWidth="20730" windowHeight="11160" firstSheet="42" activeTab="44" xr2:uid="{14D763DE-7EA8-4D4F-8B2B-77D3AB80B179}"/>
  </bookViews>
  <sheets>
    <sheet name="BSInput" sheetId="1" r:id="rId1"/>
    <sheet name="ISMInput" sheetId="2" r:id="rId2"/>
    <sheet name="Income Statement" sheetId="3" r:id="rId3"/>
    <sheet name="Balance Sheet" sheetId="4" r:id="rId4"/>
    <sheet name="CashFlow Statement" sheetId="5" r:id="rId5"/>
    <sheet name="Ratios" sheetId="6" r:id="rId6"/>
    <sheet name="Earning  Per Share" sheetId="7" r:id="rId7"/>
    <sheet name="Equity Dividend Per Share" sheetId="8" r:id="rId8"/>
    <sheet name="Book Value  Per Share" sheetId="9" r:id="rId9"/>
    <sheet name="Dividend Pay Out Ratio" sheetId="10" r:id="rId10"/>
    <sheet name="Dividend Retention Ratio" sheetId="11" r:id="rId11"/>
    <sheet name="Gross Profit" sheetId="12" r:id="rId12"/>
    <sheet name="Net Profit" sheetId="13" r:id="rId13"/>
    <sheet name="Return On Assets" sheetId="14" r:id="rId14"/>
    <sheet name="Return On Capital Employeed" sheetId="15" r:id="rId15"/>
    <sheet name="Return On Equity" sheetId="16" r:id="rId16"/>
    <sheet name="Debt Equity Ratio" sheetId="17" r:id="rId17"/>
    <sheet name="Current Ratio" sheetId="18" r:id="rId18"/>
    <sheet name="Quick Ratio" sheetId="19" r:id="rId19"/>
    <sheet name="Interest Coverage Ratio" sheetId="20" r:id="rId20"/>
    <sheet name="Material Consumed" sheetId="21" r:id="rId21"/>
    <sheet name="Defensive Interval Ratio" sheetId="22" r:id="rId22"/>
    <sheet name="Purchases Per Day" sheetId="23" r:id="rId23"/>
    <sheet name="Asset TurnOver Ratio" sheetId="24" r:id="rId24"/>
    <sheet name="Inventory TurnOver Ratio" sheetId="25" r:id="rId25"/>
    <sheet name="Debtors TurnOver Ratio" sheetId="26" r:id="rId26"/>
    <sheet name="Fixed Assets TurnOver Ratio" sheetId="27" r:id="rId27"/>
    <sheet name="Payable TurnOver Ratio" sheetId="28" r:id="rId28"/>
    <sheet name="Inventory Days" sheetId="29" r:id="rId29"/>
    <sheet name="Payable Days" sheetId="30" r:id="rId30"/>
    <sheet name="Receivable Days" sheetId="31" r:id="rId31"/>
    <sheet name="Operating Cycle" sheetId="32" r:id="rId32"/>
    <sheet name="Cash Conversion Cycle Days" sheetId="33" r:id="rId33"/>
    <sheet name="NetWorthVsTotalLiabilties" sheetId="34" r:id="rId34"/>
    <sheet name="PBDITvsPBIT" sheetId="35" r:id="rId35"/>
    <sheet name="CAvsCL" sheetId="36" r:id="rId36"/>
    <sheet name="Long And Short Term Provisions" sheetId="37" r:id="rId37"/>
    <sheet name="MaterialConsumed_DirectExpenses" sheetId="38" r:id="rId38"/>
    <sheet name="Gross Sales In Total Income" sheetId="39" r:id="rId39"/>
    <sheet name="Total_Debt_In_Liabilities" sheetId="40" r:id="rId40"/>
    <sheet name="Total_CL_In_Liabilities" sheetId="41" r:id="rId41"/>
    <sheet name="Total_NCA_In_Assets" sheetId="42" r:id="rId42"/>
    <sheet name="Total_CA_In_Assets" sheetId="43" r:id="rId43"/>
    <sheet name="TotalExpenditureVsTotalIncome" sheetId="44" r:id="rId44"/>
    <sheet name="Net Profit CF To Balance Sheet" sheetId="45" r:id="rId45"/>
  </sheets>
  <definedNames>
    <definedName name="AmountCFtoBalanceSheet">'Income Statement'!$B$30:$G$30</definedName>
    <definedName name="AssetTurnOverRatio">'Asset TurnOver Ratio'!$B$8:$G$8</definedName>
    <definedName name="BookValuePerShare">'Book Value  Per Share'!$B$8:$G$8</definedName>
    <definedName name="CapitalWorkInProgress">'Balance Sheet'!$B$29:$G$29</definedName>
    <definedName name="CashAndCashEquivalents">'Balance Sheet'!$B$38:$G$38</definedName>
    <definedName name="CashCFtoBalanceSheet">'CashFlow Statement'!$B$48:$G$48</definedName>
    <definedName name="CostOfMaterialsConsumed">'Income Statement'!$B$11:$G$11</definedName>
    <definedName name="CurrentInvestments">'Balance Sheet'!$B$28:$G$28</definedName>
    <definedName name="CurrentRatio">'Current Ratio'!$B$8:$G$8</definedName>
    <definedName name="DebtEquityRatio">'Debt Equity Ratio'!$B$8:$G$8</definedName>
    <definedName name="DebtorsTurnOverRatio">'Debtors TurnOver Ratio'!$B$8:$G$8</definedName>
    <definedName name="DefensiveIntervalRatio">'Defensive Interval Ratio'!$B$8:$G$8</definedName>
    <definedName name="DeferredTaxAssetsNet">'Balance Sheet'!$B$31:$G$31</definedName>
    <definedName name="DeferredTaxLiabilitiesNet">'Balance Sheet'!$B$11:$G$11</definedName>
    <definedName name="Depreciation">'Balance Sheet'!$B$25:$G$25</definedName>
    <definedName name="DepreciationAndAmortisationExpenses">'Income Statement'!$B$18:$G$18</definedName>
    <definedName name="EarningPerShare">'Earning  Per Share'!$B$8:$G$8</definedName>
    <definedName name="EmployeeBenefitExpenses">'Income Statement'!$B$13:$G$13</definedName>
    <definedName name="EquityDividendPerShare">'Equity Dividend Per Share'!$B$8:$G$8</definedName>
    <definedName name="EquityShareCapital">'Balance Sheet'!$B$5:$G$5</definedName>
    <definedName name="EquityShareDividend">'Income Statement'!$B$28:$G$28</definedName>
    <definedName name="ExceptionalItems">'Income Statement'!$B$24:$G$24</definedName>
    <definedName name="ExciseDuty">'Income Statement'!$B$6:$G$6</definedName>
    <definedName name="FinanceCosts">'Income Statement'!$B$20:$G$20</definedName>
    <definedName name="GrossProfit">'Gross Profit'!$B$8:$G$8</definedName>
    <definedName name="GrossSales">'Income Statement'!$B$5:$G$5</definedName>
    <definedName name="IntangibleAssets">'Balance Sheet'!$B$24:$G$24</definedName>
    <definedName name="InterestCoverageRatio">'Interest Coverage Ratio'!$B$8:$G$8</definedName>
    <definedName name="Inventories">'Balance Sheet'!$B$36:$G$36</definedName>
    <definedName name="InventoryTurnOverRatio">'Inventory TurnOver Ratio'!$B$8:$G$8</definedName>
    <definedName name="LongTermBorrowings">'Balance Sheet'!$B$10:$G$10</definedName>
    <definedName name="LongTermLoansAndAdvances">'Balance Sheet'!$B$32:$G$32</definedName>
    <definedName name="LongTermProvisions">'Balance Sheet'!$B$14:$G$14</definedName>
    <definedName name="MaterialConsumed">'Material Consumed'!$B$8:$G$8</definedName>
    <definedName name="MinorityInterest">'Balance Sheet'!$B$20:$G$20</definedName>
    <definedName name="NetAssets">'Balance Sheet'!$B$26:$G$26</definedName>
    <definedName name="NetProfit">'Net Profit'!$B$8:$G$8</definedName>
    <definedName name="NetSales">'Income Statement'!$B$7:$G$7</definedName>
    <definedName name="NetWorth">'Balance Sheet'!$B$9:$G$9</definedName>
    <definedName name="NonCurrentInvestments">'Balance Sheet'!$B$27:$G$27</definedName>
    <definedName name="OperatingAndDirectExpenses">'Income Statement'!$B$12:$G$12</definedName>
    <definedName name="OperatingProfit">'Income Statement'!$B$16:$G$16</definedName>
    <definedName name="OtherCurrentAssets">'Balance Sheet'!$B$35:$G$35</definedName>
    <definedName name="OtherCurrentLiabilities">'Balance Sheet'!$B$18:$G$18</definedName>
    <definedName name="OtherExpenses">'Income Statement'!$B$14:$G$14</definedName>
    <definedName name="OtherIncome">'Income Statement'!$B$8:$G$8</definedName>
    <definedName name="OtherLongTermLiabilities">'Balance Sheet'!$B$16:$G$16</definedName>
    <definedName name="OtherNonCurrentAssets">'Balance Sheet'!$B$33:$G$33</definedName>
    <definedName name="PBDIT">'Income Statement'!$B$17:$G$17</definedName>
    <definedName name="PBIT">'Income Statement'!$B$19:$G$19</definedName>
    <definedName name="PBT">'Income Statement'!$B$23:$G$23</definedName>
    <definedName name="PBTPostExtraOrdinaryItems">'Income Statement'!$B$25:$G$25</definedName>
    <definedName name="PreferenceShareCapital">'Balance Sheet'!$B$6:$G$6</definedName>
    <definedName name="ProfitBeforeshareofAssociates">'Income Statement'!$B$21:$G$21</definedName>
    <definedName name="QuickRatio">'Quick Ratio'!$B$9:$G$9</definedName>
    <definedName name="ReportedNetProfitPAT">'Income Statement'!$B$27:$G$27</definedName>
    <definedName name="ReservesandSurplus">'Balance Sheet'!$B$8:$G$8</definedName>
    <definedName name="ReturnOnAssets">'Return On Assets'!$B$8:$G$8</definedName>
    <definedName name="ReturnOnCapitalEmployeed">'Return On Capital Employeed'!$B$9:$G$9</definedName>
    <definedName name="ReturnOnEquity">'Return On Equity'!$B$8:$G$8</definedName>
    <definedName name="ShareOfProfitLossOfAssociates">'Income Statement'!$B$22:$G$22</definedName>
    <definedName name="SharesOutstanding">'Income Statement'!$B$35:$G$35</definedName>
    <definedName name="ShortTermBorrowings">'Balance Sheet'!$B$12:$G$12</definedName>
    <definedName name="ShortTermLoansAndAdvances">'Balance Sheet'!$B$34:$G$34</definedName>
    <definedName name="ShortTermProvisions">'Balance Sheet'!$B$15:$G$15</definedName>
    <definedName name="StockAdjustments">'Income Statement'!$B$9:$G$9</definedName>
    <definedName name="TangibleAssets">'Balance Sheet'!$B$23:$G$23</definedName>
    <definedName name="TaxOnDividend">'Income Statement'!$B$29:$G$29</definedName>
    <definedName name="TotalAssets">'Balance Sheet'!$B$40:$G$40</definedName>
    <definedName name="TotalCashFlowfromInvestmentActivities">'CashFlow Statement'!$B$35:$G$35</definedName>
    <definedName name="TotalCashFromFinancingActivities">'CashFlow Statement'!$B$47:$G$47</definedName>
    <definedName name="TotalCashfromOperatingActivities">'CashFlow Statement'!$B$27:$G$27</definedName>
    <definedName name="TotalCurrentAssets">'Balance Sheet'!$B$39:$G$39</definedName>
    <definedName name="TotalCurrentLiabilities">'Balance Sheet'!$B$19:$G$19</definedName>
    <definedName name="TotalDebt">'Balance Sheet'!$B$13:$G$13</definedName>
    <definedName name="TotalExpenditure">'Income Statement'!$B$15:$G$15</definedName>
    <definedName name="TotalIncome">'Income Statement'!$B$10:$G$10</definedName>
    <definedName name="TotalLiabilities">'Balance Sheet'!$B$21:$G$21</definedName>
    <definedName name="TotalNonCashNonOperatingTransactions">'CashFlow Statement'!$B$10:$G$10</definedName>
    <definedName name="TotalNonCurrentAssets">'Balance Sheet'!$B$30:$G$30</definedName>
    <definedName name="TotalShareCapital">'Balance Sheet'!$B$7:$G$7</definedName>
    <definedName name="TotalTaxExpenses">'Income Statement'!$B$26:$G$26</definedName>
    <definedName name="TradePayables">'Balance Sheet'!$B$17:$G$17</definedName>
    <definedName name="TradeReceivables">'Balance Sheet'!$B$37:$G$37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45" l="1"/>
  <c r="D5" i="45"/>
  <c r="E5" i="45"/>
  <c r="F5" i="45"/>
  <c r="G5" i="45"/>
  <c r="C6" i="45"/>
  <c r="D6" i="45"/>
  <c r="E6" i="45"/>
  <c r="F6" i="45"/>
  <c r="G6" i="45"/>
  <c r="B6" i="45"/>
  <c r="B5" i="45"/>
  <c r="D4" i="45"/>
  <c r="E4" i="45"/>
  <c r="F4" i="45"/>
  <c r="G4" i="45"/>
  <c r="C4" i="45"/>
  <c r="C5" i="44"/>
  <c r="D5" i="44"/>
  <c r="E5" i="44"/>
  <c r="F5" i="44"/>
  <c r="G5" i="44"/>
  <c r="C6" i="44"/>
  <c r="D6" i="44"/>
  <c r="E6" i="44"/>
  <c r="F6" i="44"/>
  <c r="G6" i="44"/>
  <c r="B6" i="44"/>
  <c r="B5" i="44"/>
  <c r="D4" i="44"/>
  <c r="E4" i="44"/>
  <c r="F4" i="44"/>
  <c r="G4" i="44"/>
  <c r="C4" i="44"/>
  <c r="C5" i="43"/>
  <c r="D5" i="43"/>
  <c r="E5" i="43"/>
  <c r="F5" i="43"/>
  <c r="G5" i="43"/>
  <c r="C6" i="43"/>
  <c r="D6" i="43"/>
  <c r="E6" i="43"/>
  <c r="F6" i="43"/>
  <c r="G6" i="43"/>
  <c r="B6" i="43"/>
  <c r="B5" i="43"/>
  <c r="D4" i="43"/>
  <c r="E4" i="43"/>
  <c r="F4" i="43"/>
  <c r="G4" i="43"/>
  <c r="C4" i="43"/>
  <c r="C5" i="42"/>
  <c r="D5" i="42"/>
  <c r="E5" i="42"/>
  <c r="F5" i="42"/>
  <c r="G5" i="42"/>
  <c r="C6" i="42"/>
  <c r="D6" i="42"/>
  <c r="E6" i="42"/>
  <c r="F6" i="42"/>
  <c r="G6" i="42"/>
  <c r="B6" i="42"/>
  <c r="B5" i="42"/>
  <c r="D4" i="42"/>
  <c r="E4" i="42"/>
  <c r="F4" i="42"/>
  <c r="G4" i="42"/>
  <c r="C4" i="42"/>
  <c r="C5" i="41"/>
  <c r="D5" i="41"/>
  <c r="E5" i="41"/>
  <c r="F5" i="41"/>
  <c r="G5" i="41"/>
  <c r="C6" i="41"/>
  <c r="D6" i="41"/>
  <c r="E6" i="41"/>
  <c r="F6" i="41"/>
  <c r="G6" i="41"/>
  <c r="B6" i="41"/>
  <c r="B5" i="41"/>
  <c r="D4" i="41"/>
  <c r="E4" i="41"/>
  <c r="F4" i="41"/>
  <c r="G4" i="41"/>
  <c r="C4" i="41"/>
  <c r="C5" i="40"/>
  <c r="D5" i="40"/>
  <c r="E5" i="40"/>
  <c r="F5" i="40"/>
  <c r="G5" i="40"/>
  <c r="C6" i="40"/>
  <c r="D6" i="40"/>
  <c r="E6" i="40"/>
  <c r="F6" i="40"/>
  <c r="G6" i="40"/>
  <c r="B6" i="40"/>
  <c r="B5" i="40"/>
  <c r="D4" i="40"/>
  <c r="E4" i="40"/>
  <c r="F4" i="40"/>
  <c r="G4" i="40"/>
  <c r="C4" i="40"/>
  <c r="C5" i="39"/>
  <c r="D5" i="39"/>
  <c r="E5" i="39"/>
  <c r="F5" i="39"/>
  <c r="G5" i="39"/>
  <c r="C6" i="39"/>
  <c r="D6" i="39"/>
  <c r="E6" i="39"/>
  <c r="F6" i="39"/>
  <c r="G6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C5" i="36"/>
  <c r="D5" i="36"/>
  <c r="E5" i="36"/>
  <c r="F5" i="36"/>
  <c r="G5" i="36"/>
  <c r="C6" i="36"/>
  <c r="D6" i="36"/>
  <c r="E6" i="36"/>
  <c r="F6" i="36"/>
  <c r="G6" i="36"/>
  <c r="B6" i="36"/>
  <c r="B5" i="36"/>
  <c r="D4" i="36"/>
  <c r="E4" i="36"/>
  <c r="F4" i="36"/>
  <c r="G4" i="36"/>
  <c r="C4" i="36"/>
  <c r="C5" i="35"/>
  <c r="D5" i="35"/>
  <c r="E5" i="35"/>
  <c r="F5" i="35"/>
  <c r="G5" i="35"/>
  <c r="C6" i="35"/>
  <c r="D6" i="35"/>
  <c r="E6" i="35"/>
  <c r="F6" i="35"/>
  <c r="G6" i="35"/>
  <c r="B6" i="35"/>
  <c r="B5" i="35"/>
  <c r="D4" i="35"/>
  <c r="E4" i="35"/>
  <c r="F4" i="35"/>
  <c r="G4" i="35"/>
  <c r="C4" i="35"/>
  <c r="C5" i="34"/>
  <c r="D5" i="34"/>
  <c r="E5" i="34"/>
  <c r="F5" i="34"/>
  <c r="G5" i="34"/>
  <c r="C6" i="34"/>
  <c r="D6" i="34"/>
  <c r="E6" i="34"/>
  <c r="F6" i="34"/>
  <c r="G6" i="34"/>
  <c r="B6" i="34"/>
  <c r="B5" i="34"/>
  <c r="D4" i="34"/>
  <c r="E4" i="34"/>
  <c r="F4" i="34"/>
  <c r="G4" i="34"/>
  <c r="C4" i="34"/>
  <c r="D16" i="33"/>
  <c r="E16" i="33"/>
  <c r="F16" i="33"/>
  <c r="G16" i="33"/>
  <c r="C16" i="33"/>
  <c r="D15" i="33"/>
  <c r="E15" i="33"/>
  <c r="F15" i="33"/>
  <c r="G15" i="33"/>
  <c r="C15" i="33"/>
  <c r="C13" i="33"/>
  <c r="D13" i="33"/>
  <c r="E13" i="33"/>
  <c r="F13" i="33"/>
  <c r="G13" i="33"/>
  <c r="C14" i="33"/>
  <c r="D14" i="33"/>
  <c r="E14" i="33"/>
  <c r="F14" i="33"/>
  <c r="G14" i="33"/>
  <c r="B14" i="33"/>
  <c r="B13" i="33"/>
  <c r="D12" i="33"/>
  <c r="E12" i="33"/>
  <c r="F12" i="33"/>
  <c r="G12" i="33"/>
  <c r="C12" i="33"/>
  <c r="D11" i="33"/>
  <c r="E11" i="33"/>
  <c r="F11" i="33"/>
  <c r="G11" i="33"/>
  <c r="C11" i="33"/>
  <c r="C9" i="33"/>
  <c r="D9" i="33"/>
  <c r="E9" i="33"/>
  <c r="F9" i="33"/>
  <c r="G9" i="33"/>
  <c r="C10" i="33"/>
  <c r="D10" i="33"/>
  <c r="E10" i="33"/>
  <c r="F10" i="33"/>
  <c r="G10" i="33"/>
  <c r="B10" i="33"/>
  <c r="B9" i="33"/>
  <c r="D8" i="33"/>
  <c r="E8" i="33"/>
  <c r="F8" i="33"/>
  <c r="G8" i="33"/>
  <c r="C8" i="33"/>
  <c r="C6" i="33"/>
  <c r="D6" i="33"/>
  <c r="E6" i="33"/>
  <c r="F6" i="33"/>
  <c r="G6" i="33"/>
  <c r="C7" i="33"/>
  <c r="D7" i="33"/>
  <c r="E7" i="33"/>
  <c r="F7" i="33"/>
  <c r="G7" i="33"/>
  <c r="B7" i="33"/>
  <c r="B6" i="33"/>
  <c r="D12" i="32"/>
  <c r="E12" i="32"/>
  <c r="F12" i="32"/>
  <c r="G12" i="32"/>
  <c r="C12" i="32"/>
  <c r="D11" i="32"/>
  <c r="E11" i="32"/>
  <c r="F11" i="32"/>
  <c r="G11" i="32"/>
  <c r="C11" i="32"/>
  <c r="C9" i="32"/>
  <c r="D9" i="32"/>
  <c r="E9" i="32"/>
  <c r="F9" i="32"/>
  <c r="G9" i="32"/>
  <c r="C10" i="32"/>
  <c r="D10" i="32"/>
  <c r="E10" i="32"/>
  <c r="F10" i="32"/>
  <c r="G10" i="32"/>
  <c r="B10" i="32"/>
  <c r="B9" i="32"/>
  <c r="D8" i="32"/>
  <c r="E8" i="32"/>
  <c r="F8" i="32"/>
  <c r="G8" i="32"/>
  <c r="C8" i="32"/>
  <c r="C6" i="32"/>
  <c r="D6" i="32"/>
  <c r="E6" i="32"/>
  <c r="F6" i="32"/>
  <c r="G6" i="32"/>
  <c r="C7" i="32"/>
  <c r="D7" i="32"/>
  <c r="E7" i="32"/>
  <c r="F7" i="32"/>
  <c r="G7" i="32"/>
  <c r="B7" i="32"/>
  <c r="B6" i="32"/>
  <c r="D8" i="31"/>
  <c r="E8" i="31"/>
  <c r="F8" i="31"/>
  <c r="G8" i="31"/>
  <c r="C8" i="31"/>
  <c r="C6" i="31"/>
  <c r="D6" i="31"/>
  <c r="E6" i="31"/>
  <c r="F6" i="31"/>
  <c r="G6" i="31"/>
  <c r="C7" i="31"/>
  <c r="D7" i="31"/>
  <c r="E7" i="31"/>
  <c r="F7" i="31"/>
  <c r="G7" i="31"/>
  <c r="B7" i="31"/>
  <c r="B6" i="31"/>
  <c r="D8" i="30"/>
  <c r="E8" i="30"/>
  <c r="F8" i="30"/>
  <c r="G8" i="30"/>
  <c r="C8" i="30"/>
  <c r="C6" i="30"/>
  <c r="D6" i="30"/>
  <c r="E6" i="30"/>
  <c r="F6" i="30"/>
  <c r="G6" i="30"/>
  <c r="C7" i="30"/>
  <c r="D7" i="30"/>
  <c r="E7" i="30"/>
  <c r="F7" i="30"/>
  <c r="G7" i="30"/>
  <c r="B7" i="30"/>
  <c r="B6" i="30"/>
  <c r="D8" i="29"/>
  <c r="E8" i="29"/>
  <c r="F8" i="29"/>
  <c r="G8" i="29"/>
  <c r="C8" i="29"/>
  <c r="C6" i="29"/>
  <c r="D6" i="29"/>
  <c r="E6" i="29"/>
  <c r="F6" i="29"/>
  <c r="G6" i="29"/>
  <c r="C7" i="29"/>
  <c r="D7" i="29"/>
  <c r="E7" i="29"/>
  <c r="F7" i="29"/>
  <c r="G7" i="29"/>
  <c r="B7" i="29"/>
  <c r="B6" i="29"/>
  <c r="D8" i="28"/>
  <c r="E8" i="28"/>
  <c r="F8" i="28"/>
  <c r="G8" i="28"/>
  <c r="C8" i="28"/>
  <c r="C6" i="28"/>
  <c r="D6" i="28"/>
  <c r="E6" i="28"/>
  <c r="F6" i="28"/>
  <c r="G6" i="28"/>
  <c r="C7" i="28"/>
  <c r="D7" i="28"/>
  <c r="E7" i="28"/>
  <c r="F7" i="28"/>
  <c r="G7" i="28"/>
  <c r="B7" i="28"/>
  <c r="B6" i="28"/>
  <c r="D8" i="27"/>
  <c r="E8" i="27"/>
  <c r="F8" i="27"/>
  <c r="G8" i="27"/>
  <c r="C8" i="27"/>
  <c r="C6" i="27"/>
  <c r="D6" i="27"/>
  <c r="E6" i="27"/>
  <c r="F6" i="27"/>
  <c r="G6" i="27"/>
  <c r="C7" i="27"/>
  <c r="D7" i="27"/>
  <c r="E7" i="27"/>
  <c r="F7" i="27"/>
  <c r="G7" i="27"/>
  <c r="B7" i="27"/>
  <c r="B6" i="27"/>
  <c r="D8" i="26"/>
  <c r="E8" i="26"/>
  <c r="F8" i="26"/>
  <c r="G8" i="26"/>
  <c r="C8" i="26"/>
  <c r="C6" i="26"/>
  <c r="D6" i="26"/>
  <c r="E6" i="26"/>
  <c r="F6" i="26"/>
  <c r="G6" i="26"/>
  <c r="C7" i="26"/>
  <c r="D7" i="26"/>
  <c r="E7" i="26"/>
  <c r="F7" i="26"/>
  <c r="G7" i="26"/>
  <c r="B7" i="26"/>
  <c r="B6" i="26"/>
  <c r="D8" i="25"/>
  <c r="E8" i="25"/>
  <c r="F8" i="25"/>
  <c r="G8" i="25"/>
  <c r="C8" i="25"/>
  <c r="C6" i="25"/>
  <c r="D6" i="25"/>
  <c r="E6" i="25"/>
  <c r="F6" i="25"/>
  <c r="G6" i="25"/>
  <c r="C7" i="25"/>
  <c r="D7" i="25"/>
  <c r="E7" i="25"/>
  <c r="F7" i="25"/>
  <c r="G7" i="25"/>
  <c r="B7" i="25"/>
  <c r="B6" i="25"/>
  <c r="D8" i="24"/>
  <c r="E8" i="24"/>
  <c r="F8" i="24"/>
  <c r="G8" i="24"/>
  <c r="C8" i="24"/>
  <c r="C6" i="24"/>
  <c r="D6" i="24"/>
  <c r="E6" i="24"/>
  <c r="F6" i="24"/>
  <c r="G6" i="24"/>
  <c r="C7" i="24"/>
  <c r="D7" i="24"/>
  <c r="E7" i="24"/>
  <c r="F7" i="24"/>
  <c r="G7" i="24"/>
  <c r="B7" i="24"/>
  <c r="B6" i="24"/>
  <c r="D8" i="23"/>
  <c r="E8" i="23"/>
  <c r="F8" i="23"/>
  <c r="G8" i="23"/>
  <c r="C8" i="23"/>
  <c r="C6" i="23"/>
  <c r="D6" i="23"/>
  <c r="E6" i="23"/>
  <c r="F6" i="23"/>
  <c r="G6" i="23"/>
  <c r="B6" i="23"/>
  <c r="D8" i="22"/>
  <c r="E8" i="22"/>
  <c r="F8" i="22"/>
  <c r="G8" i="22"/>
  <c r="C8" i="22"/>
  <c r="C6" i="22"/>
  <c r="D6" i="22"/>
  <c r="E6" i="22"/>
  <c r="F6" i="22"/>
  <c r="G6" i="22"/>
  <c r="C7" i="22"/>
  <c r="D7" i="22"/>
  <c r="E7" i="22"/>
  <c r="F7" i="22"/>
  <c r="G7" i="22"/>
  <c r="B7" i="22"/>
  <c r="B6" i="22"/>
  <c r="D8" i="21"/>
  <c r="E8" i="21"/>
  <c r="F8" i="21"/>
  <c r="G8" i="21"/>
  <c r="C8" i="21"/>
  <c r="C6" i="21"/>
  <c r="D6" i="21"/>
  <c r="E6" i="21"/>
  <c r="F6" i="21"/>
  <c r="G6" i="21"/>
  <c r="C7" i="21"/>
  <c r="D7" i="21"/>
  <c r="E7" i="21"/>
  <c r="F7" i="21"/>
  <c r="G7" i="21"/>
  <c r="B7" i="21"/>
  <c r="B6" i="21"/>
  <c r="D8" i="20"/>
  <c r="E8" i="20"/>
  <c r="F8" i="20"/>
  <c r="G8" i="20"/>
  <c r="C8" i="20"/>
  <c r="C6" i="20"/>
  <c r="D6" i="20"/>
  <c r="E6" i="20"/>
  <c r="F6" i="20"/>
  <c r="G6" i="20"/>
  <c r="C7" i="20"/>
  <c r="D7" i="20"/>
  <c r="E7" i="20"/>
  <c r="F7" i="20"/>
  <c r="G7" i="20"/>
  <c r="B7" i="20"/>
  <c r="B6" i="20"/>
  <c r="D9" i="19"/>
  <c r="E9" i="19"/>
  <c r="F9" i="19"/>
  <c r="G9" i="19"/>
  <c r="C9" i="19"/>
  <c r="C6" i="19"/>
  <c r="D6" i="19"/>
  <c r="E6" i="19"/>
  <c r="F6" i="19"/>
  <c r="G6" i="19"/>
  <c r="C7" i="19"/>
  <c r="D7" i="19"/>
  <c r="E7" i="19"/>
  <c r="F7" i="19"/>
  <c r="G7" i="19"/>
  <c r="C8" i="19"/>
  <c r="D8" i="19"/>
  <c r="E8" i="19"/>
  <c r="F8" i="19"/>
  <c r="G8" i="19"/>
  <c r="B8" i="19"/>
  <c r="B7" i="19"/>
  <c r="B6" i="19"/>
  <c r="D8" i="18"/>
  <c r="E8" i="18"/>
  <c r="F8" i="18"/>
  <c r="G8" i="18"/>
  <c r="C8" i="18"/>
  <c r="C6" i="18"/>
  <c r="D6" i="18"/>
  <c r="E6" i="18"/>
  <c r="F6" i="18"/>
  <c r="G6" i="18"/>
  <c r="C7" i="18"/>
  <c r="D7" i="18"/>
  <c r="E7" i="18"/>
  <c r="F7" i="18"/>
  <c r="G7" i="18"/>
  <c r="B7" i="18"/>
  <c r="B6" i="18"/>
  <c r="D8" i="17"/>
  <c r="E8" i="17"/>
  <c r="F8" i="17"/>
  <c r="G8" i="17"/>
  <c r="C8" i="17"/>
  <c r="C6" i="17"/>
  <c r="D6" i="17"/>
  <c r="E6" i="17"/>
  <c r="F6" i="17"/>
  <c r="G6" i="17"/>
  <c r="C7" i="17"/>
  <c r="D7" i="17"/>
  <c r="E7" i="17"/>
  <c r="F7" i="17"/>
  <c r="G7" i="17"/>
  <c r="B7" i="17"/>
  <c r="B6" i="17"/>
  <c r="D8" i="16"/>
  <c r="E8" i="16"/>
  <c r="F8" i="16"/>
  <c r="G8" i="16"/>
  <c r="C8" i="16"/>
  <c r="C6" i="16"/>
  <c r="D6" i="16"/>
  <c r="E6" i="16"/>
  <c r="F6" i="16"/>
  <c r="G6" i="16"/>
  <c r="C7" i="16"/>
  <c r="D7" i="16"/>
  <c r="E7" i="16"/>
  <c r="F7" i="16"/>
  <c r="G7" i="16"/>
  <c r="B7" i="16"/>
  <c r="B6" i="16"/>
  <c r="D9" i="15"/>
  <c r="E9" i="15"/>
  <c r="F9" i="15"/>
  <c r="G9" i="15"/>
  <c r="C9" i="15"/>
  <c r="C6" i="15"/>
  <c r="D6" i="15"/>
  <c r="E6" i="15"/>
  <c r="F6" i="15"/>
  <c r="G6" i="15"/>
  <c r="C7" i="15"/>
  <c r="D7" i="15"/>
  <c r="E7" i="15"/>
  <c r="F7" i="15"/>
  <c r="G7" i="15"/>
  <c r="C8" i="15"/>
  <c r="D8" i="15"/>
  <c r="E8" i="15"/>
  <c r="F8" i="15"/>
  <c r="G8" i="15"/>
  <c r="B8" i="15"/>
  <c r="B7" i="15"/>
  <c r="B6" i="15"/>
  <c r="D8" i="14"/>
  <c r="E8" i="14"/>
  <c r="F8" i="14"/>
  <c r="G8" i="14"/>
  <c r="C8" i="14"/>
  <c r="C6" i="14"/>
  <c r="D6" i="14"/>
  <c r="E6" i="14"/>
  <c r="F6" i="14"/>
  <c r="G6" i="14"/>
  <c r="C7" i="14"/>
  <c r="D7" i="14"/>
  <c r="E7" i="14"/>
  <c r="F7" i="14"/>
  <c r="G7" i="14"/>
  <c r="B7" i="14"/>
  <c r="B6" i="14"/>
  <c r="D8" i="13"/>
  <c r="E8" i="13"/>
  <c r="F8" i="13"/>
  <c r="G8" i="13"/>
  <c r="C8" i="13"/>
  <c r="C6" i="13"/>
  <c r="D6" i="13"/>
  <c r="E6" i="13"/>
  <c r="F6" i="13"/>
  <c r="G6" i="13"/>
  <c r="C7" i="13"/>
  <c r="D7" i="13"/>
  <c r="E7" i="13"/>
  <c r="F7" i="13"/>
  <c r="G7" i="13"/>
  <c r="B7" i="13"/>
  <c r="B6" i="13"/>
  <c r="D8" i="12"/>
  <c r="E8" i="12"/>
  <c r="F8" i="12"/>
  <c r="G8" i="12"/>
  <c r="C8" i="12"/>
  <c r="C6" i="12"/>
  <c r="D6" i="12"/>
  <c r="E6" i="12"/>
  <c r="F6" i="12"/>
  <c r="G6" i="12"/>
  <c r="C7" i="12"/>
  <c r="D7" i="12"/>
  <c r="E7" i="12"/>
  <c r="F7" i="12"/>
  <c r="G7" i="12"/>
  <c r="B7" i="12"/>
  <c r="B6" i="12"/>
  <c r="D9" i="11"/>
  <c r="E9" i="11"/>
  <c r="F9" i="11"/>
  <c r="G9" i="11"/>
  <c r="C9" i="11"/>
  <c r="D8" i="11"/>
  <c r="E8" i="11"/>
  <c r="F8" i="11"/>
  <c r="G8" i="11"/>
  <c r="C8" i="11"/>
  <c r="C6" i="11"/>
  <c r="D6" i="11"/>
  <c r="E6" i="11"/>
  <c r="F6" i="11"/>
  <c r="G6" i="11"/>
  <c r="C7" i="11"/>
  <c r="D7" i="11"/>
  <c r="E7" i="11"/>
  <c r="F7" i="11"/>
  <c r="G7" i="11"/>
  <c r="B7" i="11"/>
  <c r="B6" i="11"/>
  <c r="D12" i="10"/>
  <c r="E12" i="10"/>
  <c r="F12" i="10"/>
  <c r="G12" i="10"/>
  <c r="C12" i="10"/>
  <c r="D11" i="10"/>
  <c r="E11" i="10"/>
  <c r="F11" i="10"/>
  <c r="G11" i="10"/>
  <c r="C11" i="10"/>
  <c r="C9" i="10"/>
  <c r="D9" i="10"/>
  <c r="E9" i="10"/>
  <c r="F9" i="10"/>
  <c r="G9" i="10"/>
  <c r="C10" i="10"/>
  <c r="D10" i="10"/>
  <c r="E10" i="10"/>
  <c r="F10" i="10"/>
  <c r="G10" i="10"/>
  <c r="B10" i="10"/>
  <c r="B9" i="10"/>
  <c r="D8" i="10"/>
  <c r="E8" i="10"/>
  <c r="F8" i="10"/>
  <c r="G8" i="10"/>
  <c r="C8" i="10"/>
  <c r="C6" i="10"/>
  <c r="D6" i="10"/>
  <c r="E6" i="10"/>
  <c r="F6" i="10"/>
  <c r="G6" i="10"/>
  <c r="C7" i="10"/>
  <c r="D7" i="10"/>
  <c r="E7" i="10"/>
  <c r="F7" i="10"/>
  <c r="G7" i="10"/>
  <c r="B7" i="10"/>
  <c r="B6" i="10"/>
  <c r="D8" i="9"/>
  <c r="E8" i="9"/>
  <c r="F8" i="9"/>
  <c r="G8" i="9"/>
  <c r="C8" i="9"/>
  <c r="C6" i="9"/>
  <c r="D6" i="9"/>
  <c r="E6" i="9"/>
  <c r="F6" i="9"/>
  <c r="G6" i="9"/>
  <c r="C7" i="9"/>
  <c r="D7" i="9"/>
  <c r="E7" i="9"/>
  <c r="F7" i="9"/>
  <c r="G7" i="9"/>
  <c r="B7" i="9"/>
  <c r="B6" i="9"/>
  <c r="D8" i="8"/>
  <c r="E8" i="8"/>
  <c r="F8" i="8"/>
  <c r="G8" i="8"/>
  <c r="C8" i="8"/>
  <c r="C6" i="8"/>
  <c r="D6" i="8"/>
  <c r="E6" i="8"/>
  <c r="F6" i="8"/>
  <c r="G6" i="8"/>
  <c r="C7" i="8"/>
  <c r="D7" i="8"/>
  <c r="E7" i="8"/>
  <c r="F7" i="8"/>
  <c r="G7" i="8"/>
  <c r="B7" i="8"/>
  <c r="B6" i="8"/>
  <c r="D8" i="7"/>
  <c r="E8" i="7"/>
  <c r="F8" i="7"/>
  <c r="G8" i="7"/>
  <c r="C8" i="7"/>
  <c r="C6" i="7"/>
  <c r="D6" i="7"/>
  <c r="E6" i="7"/>
  <c r="F6" i="7"/>
  <c r="G6" i="7"/>
  <c r="C7" i="7"/>
  <c r="D7" i="7"/>
  <c r="E7" i="7"/>
  <c r="F7" i="7"/>
  <c r="G7" i="7"/>
  <c r="B7" i="7"/>
  <c r="B6" i="7"/>
  <c r="D157" i="6"/>
  <c r="E157" i="6"/>
  <c r="F157" i="6"/>
  <c r="G157" i="6"/>
  <c r="C157" i="6"/>
  <c r="D156" i="6"/>
  <c r="E156" i="6"/>
  <c r="F156" i="6"/>
  <c r="G156" i="6"/>
  <c r="C156" i="6"/>
  <c r="C154" i="6"/>
  <c r="D154" i="6"/>
  <c r="E154" i="6"/>
  <c r="F154" i="6"/>
  <c r="G154" i="6"/>
  <c r="C155" i="6"/>
  <c r="D155" i="6"/>
  <c r="E155" i="6"/>
  <c r="F155" i="6"/>
  <c r="G155" i="6"/>
  <c r="B155" i="6"/>
  <c r="B154" i="6"/>
  <c r="D153" i="6"/>
  <c r="E153" i="6"/>
  <c r="F153" i="6"/>
  <c r="G153" i="6"/>
  <c r="C153" i="6"/>
  <c r="D152" i="6"/>
  <c r="E152" i="6"/>
  <c r="F152" i="6"/>
  <c r="G152" i="6"/>
  <c r="C152" i="6"/>
  <c r="C150" i="6"/>
  <c r="D150" i="6"/>
  <c r="E150" i="6"/>
  <c r="F150" i="6"/>
  <c r="G150" i="6"/>
  <c r="C151" i="6"/>
  <c r="D151" i="6"/>
  <c r="E151" i="6"/>
  <c r="F151" i="6"/>
  <c r="G151" i="6"/>
  <c r="B151" i="6"/>
  <c r="B150" i="6"/>
  <c r="D149" i="6"/>
  <c r="E149" i="6"/>
  <c r="F149" i="6"/>
  <c r="G149" i="6"/>
  <c r="C149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D144" i="6"/>
  <c r="E144" i="6"/>
  <c r="F144" i="6"/>
  <c r="G144" i="6"/>
  <c r="C144" i="6"/>
  <c r="D143" i="6"/>
  <c r="E143" i="6"/>
  <c r="F143" i="6"/>
  <c r="G143" i="6"/>
  <c r="C143" i="6"/>
  <c r="C141" i="6"/>
  <c r="D141" i="6"/>
  <c r="E141" i="6"/>
  <c r="F141" i="6"/>
  <c r="G141" i="6"/>
  <c r="C142" i="6"/>
  <c r="D142" i="6"/>
  <c r="E142" i="6"/>
  <c r="F142" i="6"/>
  <c r="G142" i="6"/>
  <c r="B142" i="6"/>
  <c r="B141" i="6"/>
  <c r="D140" i="6"/>
  <c r="E140" i="6"/>
  <c r="F140" i="6"/>
  <c r="G140" i="6"/>
  <c r="C140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D135" i="6"/>
  <c r="E135" i="6"/>
  <c r="F135" i="6"/>
  <c r="G135" i="6"/>
  <c r="C135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D130" i="6"/>
  <c r="E130" i="6"/>
  <c r="F130" i="6"/>
  <c r="G130" i="6"/>
  <c r="C130" i="6"/>
  <c r="C128" i="6"/>
  <c r="D128" i="6"/>
  <c r="E128" i="6"/>
  <c r="F128" i="6"/>
  <c r="G128" i="6"/>
  <c r="C129" i="6"/>
  <c r="D129" i="6"/>
  <c r="E129" i="6"/>
  <c r="F129" i="6"/>
  <c r="G129" i="6"/>
  <c r="B129" i="6"/>
  <c r="B128" i="6"/>
  <c r="D125" i="6"/>
  <c r="E125" i="6"/>
  <c r="F125" i="6"/>
  <c r="G125" i="6"/>
  <c r="C125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D120" i="6"/>
  <c r="E120" i="6"/>
  <c r="F120" i="6"/>
  <c r="G120" i="6"/>
  <c r="C120" i="6"/>
  <c r="C118" i="6"/>
  <c r="D118" i="6"/>
  <c r="E118" i="6"/>
  <c r="F118" i="6"/>
  <c r="G118" i="6"/>
  <c r="C119" i="6"/>
  <c r="D119" i="6"/>
  <c r="E119" i="6"/>
  <c r="F119" i="6"/>
  <c r="G119" i="6"/>
  <c r="B119" i="6"/>
  <c r="B118" i="6"/>
  <c r="D115" i="6"/>
  <c r="E115" i="6"/>
  <c r="F115" i="6"/>
  <c r="G115" i="6"/>
  <c r="C115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D110" i="6"/>
  <c r="E110" i="6"/>
  <c r="F110" i="6"/>
  <c r="G110" i="6"/>
  <c r="C110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D105" i="6"/>
  <c r="E105" i="6"/>
  <c r="F105" i="6"/>
  <c r="G105" i="6"/>
  <c r="C105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D100" i="6"/>
  <c r="E100" i="6"/>
  <c r="F100" i="6"/>
  <c r="G100" i="6"/>
  <c r="C100" i="6"/>
  <c r="C98" i="6"/>
  <c r="D98" i="6"/>
  <c r="E98" i="6"/>
  <c r="F98" i="6"/>
  <c r="G98" i="6"/>
  <c r="C99" i="6"/>
  <c r="D99" i="6"/>
  <c r="E99" i="6"/>
  <c r="F99" i="6"/>
  <c r="G99" i="6"/>
  <c r="B99" i="6"/>
  <c r="B98" i="6"/>
  <c r="D95" i="6"/>
  <c r="E95" i="6"/>
  <c r="F95" i="6"/>
  <c r="G95" i="6"/>
  <c r="C95" i="6"/>
  <c r="C93" i="6"/>
  <c r="D93" i="6"/>
  <c r="E93" i="6"/>
  <c r="F93" i="6"/>
  <c r="G93" i="6"/>
  <c r="B93" i="6"/>
  <c r="D90" i="6"/>
  <c r="E90" i="6"/>
  <c r="F90" i="6"/>
  <c r="G90" i="6"/>
  <c r="C90" i="6"/>
  <c r="C88" i="6"/>
  <c r="D88" i="6"/>
  <c r="E88" i="6"/>
  <c r="F88" i="6"/>
  <c r="G88" i="6"/>
  <c r="C89" i="6"/>
  <c r="D89" i="6"/>
  <c r="E89" i="6"/>
  <c r="F89" i="6"/>
  <c r="G89" i="6"/>
  <c r="B89" i="6"/>
  <c r="B88" i="6"/>
  <c r="D85" i="6"/>
  <c r="E85" i="6"/>
  <c r="F85" i="6"/>
  <c r="G85" i="6"/>
  <c r="C85" i="6"/>
  <c r="C83" i="6"/>
  <c r="D83" i="6"/>
  <c r="E83" i="6"/>
  <c r="F83" i="6"/>
  <c r="G83" i="6"/>
  <c r="C84" i="6"/>
  <c r="D84" i="6"/>
  <c r="E84" i="6"/>
  <c r="F84" i="6"/>
  <c r="G84" i="6"/>
  <c r="B84" i="6"/>
  <c r="B83" i="6"/>
  <c r="D80" i="6"/>
  <c r="E80" i="6"/>
  <c r="F80" i="6"/>
  <c r="G80" i="6"/>
  <c r="C80" i="6"/>
  <c r="C78" i="6"/>
  <c r="D78" i="6"/>
  <c r="E78" i="6"/>
  <c r="F78" i="6"/>
  <c r="G78" i="6"/>
  <c r="C79" i="6"/>
  <c r="D79" i="6"/>
  <c r="E79" i="6"/>
  <c r="F79" i="6"/>
  <c r="G79" i="6"/>
  <c r="B79" i="6"/>
  <c r="B78" i="6"/>
  <c r="D75" i="6"/>
  <c r="E75" i="6"/>
  <c r="F75" i="6"/>
  <c r="G75" i="6"/>
  <c r="C75" i="6"/>
  <c r="C72" i="6"/>
  <c r="D72" i="6"/>
  <c r="E72" i="6"/>
  <c r="F72" i="6"/>
  <c r="G72" i="6"/>
  <c r="C73" i="6"/>
  <c r="D73" i="6"/>
  <c r="E73" i="6"/>
  <c r="F73" i="6"/>
  <c r="G73" i="6"/>
  <c r="C74" i="6"/>
  <c r="D74" i="6"/>
  <c r="E74" i="6"/>
  <c r="F74" i="6"/>
  <c r="G74" i="6"/>
  <c r="B74" i="6"/>
  <c r="B73" i="6"/>
  <c r="B72" i="6"/>
  <c r="D69" i="6"/>
  <c r="E69" i="6"/>
  <c r="F69" i="6"/>
  <c r="G69" i="6"/>
  <c r="C69" i="6"/>
  <c r="C67" i="6"/>
  <c r="D67" i="6"/>
  <c r="E67" i="6"/>
  <c r="F67" i="6"/>
  <c r="G67" i="6"/>
  <c r="C68" i="6"/>
  <c r="D68" i="6"/>
  <c r="E68" i="6"/>
  <c r="F68" i="6"/>
  <c r="G68" i="6"/>
  <c r="B68" i="6"/>
  <c r="B67" i="6"/>
  <c r="D64" i="6"/>
  <c r="E64" i="6"/>
  <c r="F64" i="6"/>
  <c r="G64" i="6"/>
  <c r="C64" i="6"/>
  <c r="C62" i="6"/>
  <c r="D62" i="6"/>
  <c r="E62" i="6"/>
  <c r="F62" i="6"/>
  <c r="G62" i="6"/>
  <c r="C63" i="6"/>
  <c r="D63" i="6"/>
  <c r="E63" i="6"/>
  <c r="F63" i="6"/>
  <c r="G63" i="6"/>
  <c r="B63" i="6"/>
  <c r="B62" i="6"/>
  <c r="D59" i="6"/>
  <c r="E59" i="6"/>
  <c r="F59" i="6"/>
  <c r="G59" i="6"/>
  <c r="C59" i="6"/>
  <c r="C57" i="6"/>
  <c r="D57" i="6"/>
  <c r="E57" i="6"/>
  <c r="F57" i="6"/>
  <c r="G57" i="6"/>
  <c r="C58" i="6"/>
  <c r="D58" i="6"/>
  <c r="E58" i="6"/>
  <c r="F58" i="6"/>
  <c r="G58" i="6"/>
  <c r="B58" i="6"/>
  <c r="B57" i="6"/>
  <c r="D54" i="6"/>
  <c r="E54" i="6"/>
  <c r="F54" i="6"/>
  <c r="G54" i="6"/>
  <c r="C54" i="6"/>
  <c r="C51" i="6"/>
  <c r="D51" i="6"/>
  <c r="E51" i="6"/>
  <c r="F51" i="6"/>
  <c r="G51" i="6"/>
  <c r="C52" i="6"/>
  <c r="D52" i="6"/>
  <c r="E52" i="6"/>
  <c r="F52" i="6"/>
  <c r="G52" i="6"/>
  <c r="C53" i="6"/>
  <c r="D53" i="6"/>
  <c r="E53" i="6"/>
  <c r="F53" i="6"/>
  <c r="G53" i="6"/>
  <c r="B53" i="6"/>
  <c r="B52" i="6"/>
  <c r="B51" i="6"/>
  <c r="D48" i="6"/>
  <c r="E48" i="6"/>
  <c r="F48" i="6"/>
  <c r="G48" i="6"/>
  <c r="C48" i="6"/>
  <c r="C46" i="6"/>
  <c r="D46" i="6"/>
  <c r="E46" i="6"/>
  <c r="F46" i="6"/>
  <c r="G46" i="6"/>
  <c r="C47" i="6"/>
  <c r="D47" i="6"/>
  <c r="E47" i="6"/>
  <c r="F47" i="6"/>
  <c r="G47" i="6"/>
  <c r="B47" i="6"/>
  <c r="B46" i="6"/>
  <c r="D43" i="6"/>
  <c r="E43" i="6"/>
  <c r="F43" i="6"/>
  <c r="G43" i="6"/>
  <c r="C43" i="6"/>
  <c r="C41" i="6"/>
  <c r="D41" i="6"/>
  <c r="E41" i="6"/>
  <c r="F41" i="6"/>
  <c r="G41" i="6"/>
  <c r="C42" i="6"/>
  <c r="D42" i="6"/>
  <c r="E42" i="6"/>
  <c r="F42" i="6"/>
  <c r="G42" i="6"/>
  <c r="B42" i="6"/>
  <c r="B41" i="6"/>
  <c r="D38" i="6"/>
  <c r="E38" i="6"/>
  <c r="F38" i="6"/>
  <c r="G38" i="6"/>
  <c r="C38" i="6"/>
  <c r="C36" i="6"/>
  <c r="D36" i="6"/>
  <c r="E36" i="6"/>
  <c r="F36" i="6"/>
  <c r="G36" i="6"/>
  <c r="C37" i="6"/>
  <c r="D37" i="6"/>
  <c r="E37" i="6"/>
  <c r="F37" i="6"/>
  <c r="G37" i="6"/>
  <c r="B37" i="6"/>
  <c r="B36" i="6"/>
  <c r="D33" i="6"/>
  <c r="E33" i="6"/>
  <c r="F33" i="6"/>
  <c r="G33" i="6"/>
  <c r="C33" i="6"/>
  <c r="D32" i="6"/>
  <c r="E32" i="6"/>
  <c r="F32" i="6"/>
  <c r="G32" i="6"/>
  <c r="C32" i="6"/>
  <c r="C30" i="6"/>
  <c r="D30" i="6"/>
  <c r="E30" i="6"/>
  <c r="F30" i="6"/>
  <c r="G30" i="6"/>
  <c r="C31" i="6"/>
  <c r="D31" i="6"/>
  <c r="E31" i="6"/>
  <c r="F31" i="6"/>
  <c r="G31" i="6"/>
  <c r="B31" i="6"/>
  <c r="B30" i="6"/>
  <c r="D27" i="6"/>
  <c r="E27" i="6"/>
  <c r="F27" i="6"/>
  <c r="G27" i="6"/>
  <c r="C27" i="6"/>
  <c r="D26" i="6"/>
  <c r="E26" i="6"/>
  <c r="F26" i="6"/>
  <c r="G26" i="6"/>
  <c r="C26" i="6"/>
  <c r="C24" i="6"/>
  <c r="D24" i="6"/>
  <c r="E24" i="6"/>
  <c r="F24" i="6"/>
  <c r="G24" i="6"/>
  <c r="C25" i="6"/>
  <c r="D25" i="6"/>
  <c r="E25" i="6"/>
  <c r="F25" i="6"/>
  <c r="G25" i="6"/>
  <c r="B25" i="6"/>
  <c r="B24" i="6"/>
  <c r="D23" i="6"/>
  <c r="E23" i="6"/>
  <c r="F23" i="6"/>
  <c r="G23" i="6"/>
  <c r="C23" i="6"/>
  <c r="C21" i="6"/>
  <c r="D21" i="6"/>
  <c r="E21" i="6"/>
  <c r="F21" i="6"/>
  <c r="G21" i="6"/>
  <c r="C22" i="6"/>
  <c r="D22" i="6"/>
  <c r="E22" i="6"/>
  <c r="F22" i="6"/>
  <c r="G22" i="6"/>
  <c r="B22" i="6"/>
  <c r="B21" i="6"/>
  <c r="D18" i="6"/>
  <c r="E18" i="6"/>
  <c r="F18" i="6"/>
  <c r="G18" i="6"/>
  <c r="C18" i="6"/>
  <c r="C16" i="6"/>
  <c r="D16" i="6"/>
  <c r="E16" i="6"/>
  <c r="F16" i="6"/>
  <c r="G16" i="6"/>
  <c r="C17" i="6"/>
  <c r="D17" i="6"/>
  <c r="E17" i="6"/>
  <c r="F17" i="6"/>
  <c r="G17" i="6"/>
  <c r="B17" i="6"/>
  <c r="B16" i="6"/>
  <c r="D13" i="6"/>
  <c r="E13" i="6"/>
  <c r="F13" i="6"/>
  <c r="G13" i="6"/>
  <c r="C13" i="6"/>
  <c r="C11" i="6"/>
  <c r="D11" i="6"/>
  <c r="E11" i="6"/>
  <c r="F11" i="6"/>
  <c r="G11" i="6"/>
  <c r="C12" i="6"/>
  <c r="D12" i="6"/>
  <c r="E12" i="6"/>
  <c r="F12" i="6"/>
  <c r="G12" i="6"/>
  <c r="B12" i="6"/>
  <c r="B11" i="6"/>
  <c r="D8" i="6"/>
  <c r="E8" i="6"/>
  <c r="F8" i="6"/>
  <c r="G8" i="6"/>
  <c r="C8" i="6"/>
  <c r="C6" i="6"/>
  <c r="D6" i="6"/>
  <c r="E6" i="6"/>
  <c r="F6" i="6"/>
  <c r="G6" i="6"/>
  <c r="C7" i="6"/>
  <c r="D7" i="6"/>
  <c r="E7" i="6"/>
  <c r="F7" i="6"/>
  <c r="G7" i="6"/>
  <c r="B7" i="6"/>
  <c r="B6" i="6"/>
  <c r="E8" i="4"/>
  <c r="F8" i="4" s="1"/>
  <c r="D8" i="4"/>
  <c r="F25" i="4"/>
  <c r="G25" i="4" s="1"/>
  <c r="G26" i="4" s="1"/>
  <c r="G30" i="4" s="1"/>
  <c r="E25" i="4"/>
  <c r="E26" i="4" s="1"/>
  <c r="E30" i="4" s="1"/>
  <c r="D25" i="4"/>
  <c r="E48" i="5"/>
  <c r="F48" i="5"/>
  <c r="G48" i="5"/>
  <c r="E47" i="5"/>
  <c r="F47" i="5"/>
  <c r="G47" i="5"/>
  <c r="D47" i="5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5" i="5"/>
  <c r="F35" i="5"/>
  <c r="G35" i="5"/>
  <c r="E34" i="5"/>
  <c r="F34" i="5"/>
  <c r="G34" i="5"/>
  <c r="D34" i="5"/>
  <c r="E33" i="5"/>
  <c r="F33" i="5"/>
  <c r="G33" i="5"/>
  <c r="D33" i="5"/>
  <c r="D35" i="5" s="1"/>
  <c r="D48" i="5" s="1"/>
  <c r="D38" i="4" s="1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7" i="5"/>
  <c r="F27" i="5"/>
  <c r="G27" i="5"/>
  <c r="D27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10" i="5"/>
  <c r="F10" i="5"/>
  <c r="G10" i="5"/>
  <c r="D10" i="5"/>
  <c r="E9" i="5"/>
  <c r="F9" i="5"/>
  <c r="G9" i="5"/>
  <c r="D9" i="5"/>
  <c r="E8" i="5"/>
  <c r="F8" i="5"/>
  <c r="G8" i="5"/>
  <c r="D8" i="5"/>
  <c r="E7" i="5"/>
  <c r="F7" i="5"/>
  <c r="G7" i="5"/>
  <c r="D7" i="5"/>
  <c r="E5" i="5"/>
  <c r="F5" i="5"/>
  <c r="G5" i="5"/>
  <c r="D5" i="5"/>
  <c r="D26" i="4"/>
  <c r="D30" i="4" s="1"/>
  <c r="F26" i="4"/>
  <c r="F30" i="4" s="1"/>
  <c r="D19" i="4"/>
  <c r="E19" i="4"/>
  <c r="F19" i="4"/>
  <c r="G19" i="4"/>
  <c r="D13" i="4"/>
  <c r="E13" i="4"/>
  <c r="F13" i="4"/>
  <c r="G13" i="4"/>
  <c r="D9" i="4"/>
  <c r="D21" i="4" s="1"/>
  <c r="E9" i="4"/>
  <c r="E21" i="4" s="1"/>
  <c r="D7" i="4"/>
  <c r="E7" i="4"/>
  <c r="F7" i="4"/>
  <c r="G7" i="4"/>
  <c r="C40" i="4"/>
  <c r="C39" i="4"/>
  <c r="C30" i="4"/>
  <c r="C26" i="4"/>
  <c r="C19" i="4"/>
  <c r="C13" i="4"/>
  <c r="C7" i="4"/>
  <c r="C9" i="4" s="1"/>
  <c r="C21" i="4" s="1"/>
  <c r="D35" i="3"/>
  <c r="E35" i="3"/>
  <c r="F35" i="3"/>
  <c r="G35" i="3"/>
  <c r="C35" i="3"/>
  <c r="D30" i="3"/>
  <c r="E30" i="3"/>
  <c r="F30" i="3"/>
  <c r="G30" i="3"/>
  <c r="D27" i="3"/>
  <c r="E27" i="3"/>
  <c r="F27" i="3"/>
  <c r="G27" i="3"/>
  <c r="D25" i="3"/>
  <c r="E25" i="3"/>
  <c r="F25" i="3"/>
  <c r="G25" i="3"/>
  <c r="D23" i="3"/>
  <c r="E23" i="3"/>
  <c r="F23" i="3"/>
  <c r="G23" i="3"/>
  <c r="D21" i="3"/>
  <c r="E21" i="3"/>
  <c r="F21" i="3"/>
  <c r="G21" i="3"/>
  <c r="D19" i="3"/>
  <c r="E19" i="3"/>
  <c r="F19" i="3"/>
  <c r="G19" i="3"/>
  <c r="D17" i="3"/>
  <c r="E17" i="3"/>
  <c r="F17" i="3"/>
  <c r="G17" i="3"/>
  <c r="D16" i="3"/>
  <c r="E16" i="3"/>
  <c r="F16" i="3"/>
  <c r="G16" i="3"/>
  <c r="D15" i="3"/>
  <c r="E15" i="3"/>
  <c r="F15" i="3"/>
  <c r="G15" i="3"/>
  <c r="D10" i="3"/>
  <c r="E10" i="3"/>
  <c r="F10" i="3"/>
  <c r="G10" i="3"/>
  <c r="D7" i="3"/>
  <c r="E7" i="3"/>
  <c r="F7" i="3"/>
  <c r="G7" i="3"/>
  <c r="C30" i="3"/>
  <c r="C27" i="3"/>
  <c r="C25" i="3"/>
  <c r="C23" i="3"/>
  <c r="C21" i="3"/>
  <c r="C19" i="3"/>
  <c r="C17" i="3"/>
  <c r="C16" i="3"/>
  <c r="C15" i="3"/>
  <c r="C10" i="3"/>
  <c r="C7" i="3"/>
  <c r="E38" i="4" l="1"/>
  <c r="D39" i="4"/>
  <c r="D40" i="4"/>
  <c r="F9" i="4"/>
  <c r="F21" i="4" s="1"/>
  <c r="G8" i="4"/>
  <c r="G9" i="4" s="1"/>
  <c r="G21" i="4" s="1"/>
  <c r="F38" i="4" l="1"/>
  <c r="E39" i="4"/>
  <c r="E40" i="4" s="1"/>
  <c r="G38" i="4" l="1"/>
  <c r="G39" i="4" s="1"/>
  <c r="G40" i="4" s="1"/>
  <c r="F39" i="4"/>
  <c r="F40" i="4" s="1"/>
</calcChain>
</file>

<file path=xl/sharedStrings.xml><?xml version="1.0" encoding="utf-8"?>
<sst xmlns="http://schemas.openxmlformats.org/spreadsheetml/2006/main" count="490" uniqueCount="203">
  <si>
    <t>Balance Sheet of Tech Mahindra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</si>
  <si>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</si>
  <si>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</si>
  <si>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</si>
  <si>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</si>
  <si>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</si>
  <si>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</si>
  <si>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</si>
  <si>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</si>
  <si>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</si>
  <si>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</si>
  <si>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</si>
  <si>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</si>
  <si>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</si>
  <si>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</si>
  <si>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</si>
  <si>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</si>
  <si>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</si>
  <si>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</si>
  <si>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</si>
  <si>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</si>
  <si>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</si>
  <si>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</si>
  <si>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</si>
  <si>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</si>
  <si>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</si>
  <si>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</si>
  <si>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</si>
  <si>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</si>
  <si>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</si>
  <si>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</si>
  <si>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</si>
  <si>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</si>
  <si>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</si>
  <si>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</si>
  <si>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</si>
  <si>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</si>
  <si>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</si>
  <si>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</si>
  <si>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</si>
  <si>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</si>
  <si>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</si>
  <si>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</si>
  <si>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</si>
  <si>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</si>
  <si>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</si>
  <si>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</si>
  <si>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</si>
  <si>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</si>
  <si>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</si>
  <si>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</si>
  <si>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</si>
  <si>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</si>
  <si>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</si>
  <si>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</si>
  <si>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Tech Mahindra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</si>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</sst>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8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1">
    <xf numFmtId="0" fontId="0" fillId="0" borderId="0"/>
  </cellStyleXfs>
  <cellXfs count="2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3" fillId="5" borderId="0" xfId="0" applyFont="1" applyFill="1" applyAlignment="1">
      <alignment horizontal="center" vertical="center"/>
    </xf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0" fontId="7" fillId="0" borderId="0" xfId="0" applyNumberFormat="1" applyFont="1"/>
    <xf numFmtId="164" fontId="7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820-48DE-A502-CFB0A2D9CFF1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820-48DE-A502-CFB0A2D9CFF1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820-48DE-A502-CFB0A2D9CF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'Earning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'Earning  Per Share'!$C$8:$G$8</c:f>
              <c:numCache>
                <c:formatCode>General</c:formatCode>
                <c:ptCount val="5"/>
                <c:pt idx="0">
                  <c:v>43</c:v>
                </c:pt>
                <c:pt idx="1">
                  <c:v>48</c:v>
                </c:pt>
                <c:pt idx="2">
                  <c:v>46</c:v>
                </c:pt>
                <c:pt idx="3">
                  <c:v>51</c:v>
                </c:pt>
                <c:pt idx="4">
                  <c:v>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820-48DE-A502-CFB0A2D9C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788464"/>
        <c:axId val="450789120"/>
      </c:lineChart>
      <c:catAx>
        <c:axId val="45078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789120"/>
        <c:crosses val="autoZero"/>
        <c:auto val="0"/>
        <c:lblAlgn val="ctr"/>
        <c:lblOffset val="100"/>
        <c:noMultiLvlLbl val="0"/>
      </c:catAx>
      <c:valAx>
        <c:axId val="4507891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07884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F07-44B6-BF93-29C1074579E8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F07-44B6-BF93-29C1074579E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Equity'!$C$3:$G$3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Equity'!$C$8:$G$8</c:f>
              <c:numCache>
                <c:formatCode>0.00%</c:formatCode>
                <c:ptCount val="5"/>
                <c:pt idx="0">
                  <c:v>0.1</c:v>
                </c:pt>
                <c:pt idx="1">
                  <c:v>0.1</c:v>
                </c:pt>
                <c:pt idx="2">
                  <c:v>0.09</c:v>
                </c:pt>
                <c:pt idx="3">
                  <c:v>0.08</c:v>
                </c:pt>
                <c:pt idx="4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F07-44B6-BF93-29C1074579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393968"/>
        <c:axId val="547391672"/>
      </c:lineChart>
      <c:catAx>
        <c:axId val="54739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7391672"/>
        <c:crosses val="autoZero"/>
        <c:auto val="0"/>
        <c:lblAlgn val="ctr"/>
        <c:lblOffset val="100"/>
        <c:noMultiLvlLbl val="0"/>
      </c:catAx>
      <c:valAx>
        <c:axId val="5473916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473939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55C-436D-A33B-48CA00CBA0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 Equity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 Equity Ratio'!$C$8:$G$8</c:f>
              <c:numCache>
                <c:formatCode>General</c:formatCode>
                <c:ptCount val="5"/>
                <c:pt idx="0">
                  <c:v>0.09</c:v>
                </c:pt>
                <c:pt idx="1">
                  <c:v>0.06</c:v>
                </c:pt>
                <c:pt idx="2">
                  <c:v>0.11</c:v>
                </c:pt>
                <c:pt idx="3">
                  <c:v>7.0000000000000007E-2</c:v>
                </c:pt>
                <c:pt idx="4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55C-436D-A33B-48CA00CBA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745160"/>
        <c:axId val="451747456"/>
      </c:lineChart>
      <c:catAx>
        <c:axId val="451745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747456"/>
        <c:crosses val="autoZero"/>
        <c:auto val="0"/>
        <c:lblAlgn val="ctr"/>
        <c:lblOffset val="100"/>
        <c:noMultiLvlLbl val="0"/>
      </c:catAx>
      <c:valAx>
        <c:axId val="4517474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174516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671-49F9-9603-128BDCD6E510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671-49F9-9603-128BDCD6E510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671-49F9-9603-128BDCD6E51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'Current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'Current Ratio'!$C$8:$G$8</c:f>
              <c:numCache>
                <c:formatCode>General</c:formatCode>
                <c:ptCount val="5"/>
                <c:pt idx="0">
                  <c:v>2.2000000000000002</c:v>
                </c:pt>
                <c:pt idx="1">
                  <c:v>2.2799999999999998</c:v>
                </c:pt>
                <c:pt idx="2">
                  <c:v>2.52</c:v>
                </c:pt>
                <c:pt idx="3">
                  <c:v>2.46</c:v>
                </c:pt>
                <c:pt idx="4">
                  <c:v>2.83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671-49F9-9603-128BDCD6E5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9648"/>
        <c:axId val="440765592"/>
      </c:lineChart>
      <c:catAx>
        <c:axId val="364049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0765592"/>
        <c:crosses val="autoZero"/>
        <c:auto val="0"/>
        <c:lblAlgn val="ctr"/>
        <c:lblOffset val="100"/>
        <c:noMultiLvlLbl val="0"/>
      </c:catAx>
      <c:valAx>
        <c:axId val="4407655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96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AB05-4DB8-B402-8E0F6B31F610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B05-4DB8-B402-8E0F6B31F610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AB05-4DB8-B402-8E0F6B31F61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'Quick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'Quick Ratio'!$C$9:$G$9</c:f>
              <c:numCache>
                <c:formatCode>General</c:formatCode>
                <c:ptCount val="5"/>
                <c:pt idx="0">
                  <c:v>2.19</c:v>
                </c:pt>
                <c:pt idx="1">
                  <c:v>2.27</c:v>
                </c:pt>
                <c:pt idx="2">
                  <c:v>2.5099999999999998</c:v>
                </c:pt>
                <c:pt idx="3">
                  <c:v>2.46</c:v>
                </c:pt>
                <c:pt idx="4">
                  <c:v>2.82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B05-4DB8-B402-8E0F6B31F6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948400"/>
        <c:axId val="627516768"/>
      </c:lineChart>
      <c:catAx>
        <c:axId val="546948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516768"/>
        <c:crosses val="autoZero"/>
        <c:auto val="0"/>
        <c:lblAlgn val="ctr"/>
        <c:lblOffset val="100"/>
        <c:noMultiLvlLbl val="0"/>
      </c:catAx>
      <c:valAx>
        <c:axId val="6275167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69484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1CF-4C2C-8388-51AE60855D9D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1CF-4C2C-8388-51AE60855D9D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1CF-4C2C-8388-51AE60855D9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'Interest Coverage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'Interest Coverage Ratio'!$C$8:$G$8</c:f>
              <c:numCache>
                <c:formatCode>General</c:formatCode>
                <c:ptCount val="5"/>
                <c:pt idx="0">
                  <c:v>31.04</c:v>
                </c:pt>
                <c:pt idx="1">
                  <c:v>43.11</c:v>
                </c:pt>
                <c:pt idx="2">
                  <c:v>28.52</c:v>
                </c:pt>
                <c:pt idx="3">
                  <c:v>35.5</c:v>
                </c:pt>
                <c:pt idx="4">
                  <c:v>46.81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CF-4C2C-8388-51AE60855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317104"/>
        <c:axId val="104319400"/>
      </c:lineChart>
      <c:catAx>
        <c:axId val="104317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319400"/>
        <c:crosses val="autoZero"/>
        <c:auto val="0"/>
        <c:lblAlgn val="ctr"/>
        <c:lblOffset val="100"/>
        <c:noMultiLvlLbl val="0"/>
      </c:catAx>
      <c:valAx>
        <c:axId val="104319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31710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58B-4064-B6FE-178B8BADE9AD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58B-4064-B6FE-178B8BADE9AD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58B-4064-B6FE-178B8BADE9AD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B58B-4064-B6FE-178B8BADE9A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'Material Consumed'!$C$3:$G$3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'Material Consumed'!$C$8:$G$8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58B-4064-B6FE-178B8BADE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392656"/>
        <c:axId val="547392984"/>
      </c:lineChart>
      <c:catAx>
        <c:axId val="54739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7392984"/>
        <c:crosses val="autoZero"/>
        <c:auto val="0"/>
        <c:lblAlgn val="ctr"/>
        <c:lblOffset val="100"/>
        <c:noMultiLvlLbl val="0"/>
      </c:catAx>
      <c:valAx>
        <c:axId val="547392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73926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B3F-4642-999E-4CC227A5C285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B3F-4642-999E-4CC227A5C285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B3F-4642-999E-4CC227A5C28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8B3F-4642-999E-4CC227A5C28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'Defensive Interval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'Defensive Interval Ratio'!$C$8:$G$8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B3F-4642-999E-4CC227A5C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619352"/>
        <c:axId val="446621320"/>
      </c:lineChart>
      <c:catAx>
        <c:axId val="446619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621320"/>
        <c:crosses val="autoZero"/>
        <c:auto val="0"/>
        <c:lblAlgn val="ctr"/>
        <c:lblOffset val="100"/>
        <c:noMultiLvlLbl val="0"/>
      </c:catAx>
      <c:valAx>
        <c:axId val="4466213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6193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435A-4DA0-B548-D7665523BDAE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35A-4DA0-B548-D7665523BDAE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435A-4DA0-B548-D7665523BDAE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35A-4DA0-B548-D7665523BDA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'Purchases Per Day'!$C$3:$G$3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'Purchases Per Day'!$C$8:$G$8</c:f>
              <c:numCache>
                <c:formatCode>General</c:formatCode>
                <c:ptCount val="5"/>
                <c:pt idx="0">
                  <c:v>3044.3</c:v>
                </c:pt>
                <c:pt idx="1">
                  <c:v>6495.4</c:v>
                </c:pt>
                <c:pt idx="2">
                  <c:v>9394.4</c:v>
                </c:pt>
                <c:pt idx="3">
                  <c:v>10752</c:v>
                </c:pt>
                <c:pt idx="4">
                  <c:v>21670.92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5A-4DA0-B548-D7665523B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906176"/>
        <c:axId val="447908800"/>
      </c:lineChart>
      <c:catAx>
        <c:axId val="44790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908800"/>
        <c:crosses val="autoZero"/>
        <c:auto val="0"/>
        <c:lblAlgn val="ctr"/>
        <c:lblOffset val="100"/>
        <c:noMultiLvlLbl val="0"/>
      </c:catAx>
      <c:valAx>
        <c:axId val="447908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9061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'Asset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'Asset TurnOver Ratio'!$C$8:$G$8</c:f>
              <c:numCache>
                <c:formatCode>General</c:formatCode>
                <c:ptCount val="5"/>
                <c:pt idx="0">
                  <c:v>1.05</c:v>
                </c:pt>
                <c:pt idx="1">
                  <c:v>1.03</c:v>
                </c:pt>
                <c:pt idx="2">
                  <c:v>0.98</c:v>
                </c:pt>
                <c:pt idx="3">
                  <c:v>0.96</c:v>
                </c:pt>
                <c:pt idx="4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82B-443D-9B5F-EB95E49C7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320384"/>
        <c:axId val="104317760"/>
      </c:lineChart>
      <c:catAx>
        <c:axId val="10432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317760"/>
        <c:crosses val="autoZero"/>
        <c:auto val="0"/>
        <c:lblAlgn val="ctr"/>
        <c:lblOffset val="100"/>
        <c:noMultiLvlLbl val="0"/>
      </c:catAx>
      <c:valAx>
        <c:axId val="1043177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3203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CCF-4C52-8E04-9CA3D9C73863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CCF-4C52-8E04-9CA3D9C7386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TurnOver Ratio'!$C$8:$G$8</c:f>
              <c:numCache>
                <c:formatCode>General</c:formatCode>
                <c:ptCount val="5"/>
                <c:pt idx="0">
                  <c:v>466.96</c:v>
                </c:pt>
                <c:pt idx="1">
                  <c:v>462</c:v>
                </c:pt>
                <c:pt idx="2">
                  <c:v>1029.82</c:v>
                </c:pt>
                <c:pt idx="3">
                  <c:v>1564.26</c:v>
                </c:pt>
                <c:pt idx="4">
                  <c:v>1102.3699999999999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CCF-4C52-8E04-9CA3D9C738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748768"/>
        <c:axId val="451746144"/>
      </c:lineChart>
      <c:catAx>
        <c:axId val="451748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746144"/>
        <c:crosses val="autoZero"/>
        <c:auto val="0"/>
        <c:lblAlgn val="ctr"/>
        <c:lblOffset val="100"/>
        <c:noMultiLvlLbl val="0"/>
      </c:catAx>
      <c:valAx>
        <c:axId val="4517461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17487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350-4058-91EB-5AA950F3FB3A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A350-4058-91EB-5AA950F3FB3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'Equity Dividend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'Equity Dividend Per Share'!$C$8:$G$8</c:f>
              <c:numCache>
                <c:formatCode>General</c:formatCode>
                <c:ptCount val="5"/>
                <c:pt idx="0">
                  <c:v>10.72</c:v>
                </c:pt>
                <c:pt idx="1">
                  <c:v>16.43</c:v>
                </c:pt>
                <c:pt idx="2">
                  <c:v>27.82</c:v>
                </c:pt>
                <c:pt idx="3">
                  <c:v>20.38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350-4058-91EB-5AA950F3F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7880"/>
        <c:axId val="553815240"/>
      </c:lineChart>
      <c:catAx>
        <c:axId val="553647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5240"/>
        <c:crosses val="autoZero"/>
        <c:auto val="0"/>
        <c:lblAlgn val="ctr"/>
        <c:lblOffset val="100"/>
        <c:noMultiLvlLbl val="0"/>
      </c:catAx>
      <c:valAx>
        <c:axId val="5538152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78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770-493B-AE40-94894BD75663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770-493B-AE40-94894BD7566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'Debtors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'Debtors TurnOver Ratio'!$C$8:$G$8</c:f>
              <c:numCache>
                <c:formatCode>General</c:formatCode>
                <c:ptCount val="5"/>
                <c:pt idx="0">
                  <c:v>4.74</c:v>
                </c:pt>
                <c:pt idx="1">
                  <c:v>4.99</c:v>
                </c:pt>
                <c:pt idx="2">
                  <c:v>4.87</c:v>
                </c:pt>
                <c:pt idx="3">
                  <c:v>5.85</c:v>
                </c:pt>
                <c:pt idx="4">
                  <c:v>3.74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770-493B-AE40-94894BD75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618856"/>
        <c:axId val="446615248"/>
      </c:lineChart>
      <c:catAx>
        <c:axId val="446618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615248"/>
        <c:crosses val="autoZero"/>
        <c:auto val="0"/>
        <c:lblAlgn val="ctr"/>
        <c:lblOffset val="100"/>
        <c:noMultiLvlLbl val="0"/>
      </c:catAx>
      <c:valAx>
        <c:axId val="4466152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6188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616-4AA6-9B0C-50C648B50A5E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616-4AA6-9B0C-50C648B50A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'Fixed Assets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'Fixed Assets TurnOver Ratio'!$C$8:$G$8</c:f>
              <c:numCache>
                <c:formatCode>General</c:formatCode>
                <c:ptCount val="5"/>
                <c:pt idx="0">
                  <c:v>9.6999999999999993</c:v>
                </c:pt>
                <c:pt idx="1">
                  <c:v>12.44</c:v>
                </c:pt>
                <c:pt idx="2">
                  <c:v>9.27</c:v>
                </c:pt>
                <c:pt idx="3">
                  <c:v>10.63</c:v>
                </c:pt>
                <c:pt idx="4">
                  <c:v>6.78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16-4AA6-9B0C-50C648B50A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616888"/>
        <c:axId val="439797384"/>
      </c:lineChart>
      <c:catAx>
        <c:axId val="446616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39797384"/>
        <c:crosses val="autoZero"/>
        <c:auto val="0"/>
        <c:lblAlgn val="ctr"/>
        <c:lblOffset val="100"/>
        <c:noMultiLvlLbl val="0"/>
      </c:catAx>
      <c:valAx>
        <c:axId val="439797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61688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F735-414D-9202-1A7DBD9827FD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735-414D-9202-1A7DBD9827FD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F735-414D-9202-1A7DBD9827FD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735-414D-9202-1A7DBD9827F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TurnOver Ratio'!$C$8:$G$8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35-414D-9202-1A7DBD9827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34600"/>
        <c:axId val="549534928"/>
      </c:lineChart>
      <c:catAx>
        <c:axId val="549534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534928"/>
        <c:crosses val="autoZero"/>
        <c:auto val="0"/>
        <c:lblAlgn val="ctr"/>
        <c:lblOffset val="100"/>
        <c:noMultiLvlLbl val="0"/>
      </c:catAx>
      <c:valAx>
        <c:axId val="5495349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346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092-49C0-9820-712A61CED42A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092-49C0-9820-712A61CED42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Days'!$C$8:$G$8</c:f>
              <c:numCache>
                <c:formatCode>General</c:formatCode>
                <c:ptCount val="5"/>
                <c:pt idx="0">
                  <c:v>0.78</c:v>
                </c:pt>
                <c:pt idx="1">
                  <c:v>0.79</c:v>
                </c:pt>
                <c:pt idx="2">
                  <c:v>0.35</c:v>
                </c:pt>
                <c:pt idx="3">
                  <c:v>0.23</c:v>
                </c:pt>
                <c:pt idx="4">
                  <c:v>0.33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92-49C0-9820-712A61CED4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594560"/>
        <c:axId val="439593904"/>
      </c:lineChart>
      <c:catAx>
        <c:axId val="439594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39593904"/>
        <c:crosses val="autoZero"/>
        <c:auto val="0"/>
        <c:lblAlgn val="ctr"/>
        <c:lblOffset val="100"/>
        <c:noMultiLvlLbl val="0"/>
      </c:catAx>
      <c:valAx>
        <c:axId val="4395939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3959456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B6CC-4624-A175-467D6A536419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6CC-4624-A175-467D6A536419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B6CC-4624-A175-467D6A536419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6CC-4624-A175-467D6A53641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Days'!$C$8:$G$8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CC-4624-A175-467D6A5364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592424"/>
        <c:axId val="439590784"/>
      </c:lineChart>
      <c:catAx>
        <c:axId val="439592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39590784"/>
        <c:crosses val="autoZero"/>
        <c:auto val="0"/>
        <c:lblAlgn val="ctr"/>
        <c:lblOffset val="100"/>
        <c:noMultiLvlLbl val="0"/>
      </c:catAx>
      <c:valAx>
        <c:axId val="4395907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395924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855F-42AC-8845-56135EB784F2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55F-42AC-8845-56135EB784F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'Receivable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'Receivable Days'!$C$8:$G$8</c:f>
              <c:numCache>
                <c:formatCode>General</c:formatCode>
                <c:ptCount val="5"/>
                <c:pt idx="0">
                  <c:v>77.069999999999993</c:v>
                </c:pt>
                <c:pt idx="1">
                  <c:v>73.11</c:v>
                </c:pt>
                <c:pt idx="2">
                  <c:v>75.02</c:v>
                </c:pt>
                <c:pt idx="3">
                  <c:v>62.41</c:v>
                </c:pt>
                <c:pt idx="4">
                  <c:v>97.56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5F-42AC-8845-56135EB78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908472"/>
        <c:axId val="447908144"/>
      </c:lineChart>
      <c:catAx>
        <c:axId val="447908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908144"/>
        <c:crosses val="autoZero"/>
        <c:auto val="0"/>
        <c:lblAlgn val="ctr"/>
        <c:lblOffset val="100"/>
        <c:noMultiLvlLbl val="0"/>
      </c:catAx>
      <c:valAx>
        <c:axId val="4479081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9084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AE3F-4C3A-BA02-215D026B1E2A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E3F-4C3A-BA02-215D026B1E2A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AE3F-4C3A-BA02-215D026B1E2A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E3F-4C3A-BA02-215D026B1E2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'Operating Cycle'!$C$3:$G$3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'Operating Cycle'!$C$12:$G$12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3F-4C3A-BA02-215D026B1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0473376"/>
        <c:axId val="560471408"/>
      </c:lineChart>
      <c:catAx>
        <c:axId val="560473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471408"/>
        <c:crosses val="autoZero"/>
        <c:auto val="0"/>
        <c:lblAlgn val="ctr"/>
        <c:lblOffset val="100"/>
        <c:noMultiLvlLbl val="0"/>
      </c:catAx>
      <c:valAx>
        <c:axId val="5604714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604733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B73-4B03-86A8-082FB66DAE3F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B73-4B03-86A8-082FB66DAE3F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1B73-4B03-86A8-082FB66DAE3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B73-4B03-86A8-082FB66DAE3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'Cash Conversion Cycle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'Cash Conversion Cycle Days'!$C$16:$G$16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73-4B03-86A8-082FB66DAE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616560"/>
        <c:axId val="448998648"/>
      </c:lineChart>
      <c:catAx>
        <c:axId val="44661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998648"/>
        <c:crosses val="autoZero"/>
        <c:auto val="0"/>
        <c:lblAlgn val="ctr"/>
        <c:lblOffset val="100"/>
        <c:noMultiLvlLbl val="0"/>
      </c:catAx>
      <c:valAx>
        <c:axId val="4489986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661656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18840.400000000001</c:v>
                </c:pt>
                <c:pt idx="1">
                  <c:v>21705.999999999993</c:v>
                </c:pt>
                <c:pt idx="2">
                  <c:v>23326.799999999992</c:v>
                </c:pt>
                <c:pt idx="3">
                  <c:v>25971.299999999992</c:v>
                </c:pt>
                <c:pt idx="4">
                  <c:v>31603.19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43-4E99-8724-7C811EDD7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8996352"/>
        <c:axId val="448996680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29204.5</c:v>
                </c:pt>
                <c:pt idx="1">
                  <c:v>33638.099999999991</c:v>
                </c:pt>
                <c:pt idx="2">
                  <c:v>37636.899999999994</c:v>
                </c:pt>
                <c:pt idx="3">
                  <c:v>39553.899999999994</c:v>
                </c:pt>
                <c:pt idx="4">
                  <c:v>49588.23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D43-4E99-8724-7C811EDD78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996352"/>
        <c:axId val="448996680"/>
      </c:lineChart>
      <c:catAx>
        <c:axId val="448996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996680"/>
        <c:crosses val="autoZero"/>
        <c:auto val="1"/>
        <c:lblAlgn val="ctr"/>
        <c:lblOffset val="100"/>
        <c:noMultiLvlLbl val="0"/>
      </c:catAx>
      <c:valAx>
        <c:axId val="4489966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99635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6126.1000000000022</c:v>
                </c:pt>
                <c:pt idx="1">
                  <c:v>6871.0999999999913</c:v>
                </c:pt>
                <c:pt idx="2">
                  <c:v>6918.5</c:v>
                </c:pt>
                <c:pt idx="3">
                  <c:v>7634.0999999999985</c:v>
                </c:pt>
                <c:pt idx="4">
                  <c:v>9132.2800000000061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B0-4093-827A-2CC92AC68874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5041.1000000000022</c:v>
                </c:pt>
                <c:pt idx="1">
                  <c:v>5741.8999999999915</c:v>
                </c:pt>
                <c:pt idx="2">
                  <c:v>5472.7</c:v>
                </c:pt>
                <c:pt idx="3">
                  <c:v>6176.3999999999987</c:v>
                </c:pt>
                <c:pt idx="4">
                  <c:v>7611.8800000000065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B0-4093-827A-2CC92AC688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0474032"/>
        <c:axId val="560474688"/>
      </c:barChart>
      <c:catAx>
        <c:axId val="560474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474688"/>
        <c:crosses val="autoZero"/>
        <c:auto val="1"/>
        <c:lblAlgn val="ctr"/>
        <c:lblOffset val="100"/>
        <c:noMultiLvlLbl val="0"/>
      </c:catAx>
      <c:valAx>
        <c:axId val="5604746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47403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2F5-4400-938D-0980D1AAC787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2F5-4400-938D-0980D1AAC787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2F5-4400-938D-0980D1AAC787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42F5-4400-938D-0980D1AAC78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'Book Value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'Book Value  Per Share'!$C$8:$G$8</c:f>
              <c:numCache>
                <c:formatCode>General</c:formatCode>
                <c:ptCount val="5"/>
                <c:pt idx="0">
                  <c:v>213.98</c:v>
                </c:pt>
                <c:pt idx="1">
                  <c:v>239.28</c:v>
                </c:pt>
                <c:pt idx="2">
                  <c:v>260.42</c:v>
                </c:pt>
                <c:pt idx="3">
                  <c:v>300.86</c:v>
                </c:pt>
                <c:pt idx="4">
                  <c:v>353.64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2F5-4400-938D-0980D1AAC7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8322152"/>
        <c:axId val="553646568"/>
      </c:lineChart>
      <c:catAx>
        <c:axId val="548322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6568"/>
        <c:crosses val="autoZero"/>
        <c:auto val="0"/>
        <c:lblAlgn val="ctr"/>
        <c:lblOffset val="100"/>
        <c:noMultiLvlLbl val="0"/>
      </c:catAx>
      <c:valAx>
        <c:axId val="553646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83221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17884.2</c:v>
                </c:pt>
                <c:pt idx="1">
                  <c:v>22904.199999999997</c:v>
                </c:pt>
                <c:pt idx="2">
                  <c:v>28829.19999999999</c:v>
                </c:pt>
                <c:pt idx="3">
                  <c:v>28220.399999999994</c:v>
                </c:pt>
                <c:pt idx="4">
                  <c:v>43671.88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91-42F1-ABE1-B3B2A4147904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8123.2000000000007</c:v>
                </c:pt>
                <c:pt idx="1">
                  <c:v>10048.6</c:v>
                </c:pt>
                <c:pt idx="2">
                  <c:v>11453</c:v>
                </c:pt>
                <c:pt idx="3">
                  <c:v>11465.2</c:v>
                </c:pt>
                <c:pt idx="4">
                  <c:v>15452.7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91-42F1-ABE1-B3B2A41479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6352032"/>
        <c:axId val="556350392"/>
      </c:barChart>
      <c:catAx>
        <c:axId val="55635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350392"/>
        <c:crosses val="autoZero"/>
        <c:auto val="1"/>
        <c:lblAlgn val="ctr"/>
        <c:lblOffset val="100"/>
        <c:noMultiLvlLbl val="0"/>
      </c:catAx>
      <c:valAx>
        <c:axId val="5563503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35203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'Long And Short Term Provisions'!$C$4:$G$4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'Long And Short Term Provisions'!$C$5:$G$5</c:f>
              <c:numCache>
                <c:formatCode>.00</c:formatCode>
                <c:ptCount val="5"/>
                <c:pt idx="0">
                  <c:v>555.1</c:v>
                </c:pt>
                <c:pt idx="1">
                  <c:v>580.1</c:v>
                </c:pt>
                <c:pt idx="2">
                  <c:v>669.1</c:v>
                </c:pt>
                <c:pt idx="3">
                  <c:v>781</c:v>
                </c:pt>
                <c:pt idx="4">
                  <c:v>881.1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29D-4DF4-8DC5-500C6A4B6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346128"/>
        <c:axId val="556351376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'Long And Short Term Provisions'!$C$6:$G$6</c:f>
              <c:numCache>
                <c:formatCode>.00</c:formatCode>
                <c:ptCount val="5"/>
                <c:pt idx="0">
                  <c:v>403</c:v>
                </c:pt>
                <c:pt idx="1">
                  <c:v>395.2</c:v>
                </c:pt>
                <c:pt idx="2">
                  <c:v>436.4</c:v>
                </c:pt>
                <c:pt idx="3">
                  <c:v>531.1</c:v>
                </c:pt>
                <c:pt idx="4">
                  <c:v>671.6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29D-4DF4-8DC5-500C6A4B6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356296"/>
        <c:axId val="556359904"/>
      </c:lineChart>
      <c:catAx>
        <c:axId val="55634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6351376"/>
        <c:crosses val="autoZero"/>
        <c:auto val="1"/>
        <c:lblAlgn val="ctr"/>
        <c:lblOffset val="100"/>
        <c:noMultiLvlLbl val="0"/>
      </c:catAx>
      <c:valAx>
        <c:axId val="556351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346128"/>
        <c:crosses val="autoZero"/>
        <c:crossBetween val="between"/>
      </c:valAx>
      <c:valAx>
        <c:axId val="55635990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6356296"/>
        <c:crosses val="max"/>
        <c:crossBetween val="between"/>
      </c:valAx>
      <c:catAx>
        <c:axId val="556356296"/>
        <c:scaling>
          <c:orientation val="minMax"/>
        </c:scaling>
        <c:delete val="1"/>
        <c:axPos val="b"/>
        <c:majorTickMark val="out"/>
        <c:minorTickMark val="none"/>
        <c:tickLblPos val="nextTo"/>
        <c:crossAx val="556359904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865-4F03-897F-C1AC45AD6A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469440"/>
        <c:axId val="560472720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3888</c:v>
                </c:pt>
                <c:pt idx="1">
                  <c:v>4349.7</c:v>
                </c:pt>
                <c:pt idx="2">
                  <c:v>5440.8</c:v>
                </c:pt>
                <c:pt idx="3">
                  <c:v>4974.3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65-4F03-897F-C1AC45AD6A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9589800"/>
        <c:axId val="560473048"/>
      </c:lineChart>
      <c:catAx>
        <c:axId val="560469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0472720"/>
        <c:crosses val="autoZero"/>
        <c:auto val="1"/>
        <c:lblAlgn val="ctr"/>
        <c:lblOffset val="100"/>
        <c:noMultiLvlLbl val="0"/>
      </c:catAx>
      <c:valAx>
        <c:axId val="5604727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469440"/>
        <c:crosses val="autoZero"/>
        <c:crossBetween val="between"/>
      </c:valAx>
      <c:valAx>
        <c:axId val="56047304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39589800"/>
        <c:crosses val="max"/>
        <c:crossBetween val="between"/>
      </c:valAx>
      <c:catAx>
        <c:axId val="439589800"/>
        <c:scaling>
          <c:orientation val="minMax"/>
        </c:scaling>
        <c:delete val="1"/>
        <c:axPos val="b"/>
        <c:majorTickMark val="out"/>
        <c:minorTickMark val="none"/>
        <c:tickLblPos val="nextTo"/>
        <c:crossAx val="560473048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Sales In Total Income'!$C$4:$G$4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Sales In Total Income'!$C$5:$G$5</c:f>
              <c:numCache>
                <c:formatCode>.00</c:formatCode>
                <c:ptCount val="5"/>
                <c:pt idx="0">
                  <c:v>30772.9</c:v>
                </c:pt>
                <c:pt idx="1">
                  <c:v>34742.1</c:v>
                </c:pt>
                <c:pt idx="2">
                  <c:v>36867.699999999997</c:v>
                </c:pt>
                <c:pt idx="3">
                  <c:v>37855.1</c:v>
                </c:pt>
                <c:pt idx="4">
                  <c:v>44645.98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B5-4DE3-809A-F1CBA0AA86C9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'Gross Sales In Total Income'!$C$6:$G$6</c:f>
              <c:numCache>
                <c:formatCode>.00</c:formatCode>
                <c:ptCount val="5"/>
                <c:pt idx="0">
                  <c:v>32189.4</c:v>
                </c:pt>
                <c:pt idx="1">
                  <c:v>35276.299999999996</c:v>
                </c:pt>
                <c:pt idx="2">
                  <c:v>38060.1</c:v>
                </c:pt>
                <c:pt idx="3">
                  <c:v>38642.199999999997</c:v>
                </c:pt>
                <c:pt idx="4">
                  <c:v>45758.280000000006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B5-4DE3-809A-F1CBA0AA86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7381480"/>
        <c:axId val="557379512"/>
      </c:barChart>
      <c:catAx>
        <c:axId val="557381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7379512"/>
        <c:crosses val="autoZero"/>
        <c:auto val="1"/>
        <c:lblAlgn val="ctr"/>
        <c:lblOffset val="100"/>
        <c:noMultiLvlLbl val="0"/>
      </c:catAx>
      <c:valAx>
        <c:axId val="557379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738148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29204.5</c:v>
                </c:pt>
                <c:pt idx="1">
                  <c:v>33638.099999999991</c:v>
                </c:pt>
                <c:pt idx="2">
                  <c:v>37636.899999999994</c:v>
                </c:pt>
                <c:pt idx="3">
                  <c:v>39553.899999999994</c:v>
                </c:pt>
                <c:pt idx="4">
                  <c:v>49588.23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0F-4B41-80AD-E2EE11BA8995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1731.8</c:v>
                </c:pt>
                <c:pt idx="1">
                  <c:v>1405.8</c:v>
                </c:pt>
                <c:pt idx="2">
                  <c:v>2463.8000000000002</c:v>
                </c:pt>
                <c:pt idx="3">
                  <c:v>1737.9</c:v>
                </c:pt>
                <c:pt idx="4">
                  <c:v>2036.94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F0F-4B41-80AD-E2EE11BA8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6710480"/>
        <c:axId val="546715072"/>
      </c:barChart>
      <c:catAx>
        <c:axId val="546710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715072"/>
        <c:crosses val="autoZero"/>
        <c:auto val="1"/>
        <c:lblAlgn val="ctr"/>
        <c:lblOffset val="100"/>
        <c:noMultiLvlLbl val="0"/>
      </c:catAx>
      <c:valAx>
        <c:axId val="5467150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71048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29204.5</c:v>
                </c:pt>
                <c:pt idx="1">
                  <c:v>33638.099999999991</c:v>
                </c:pt>
                <c:pt idx="2">
                  <c:v>37636.899999999994</c:v>
                </c:pt>
                <c:pt idx="3">
                  <c:v>39553.899999999994</c:v>
                </c:pt>
                <c:pt idx="4">
                  <c:v>49588.23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1C-4CD3-B40B-0A059FB94E6A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8123.2000000000007</c:v>
                </c:pt>
                <c:pt idx="1">
                  <c:v>10048.6</c:v>
                </c:pt>
                <c:pt idx="2">
                  <c:v>11453</c:v>
                </c:pt>
                <c:pt idx="3">
                  <c:v>11465.2</c:v>
                </c:pt>
                <c:pt idx="4">
                  <c:v>15452.7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1C-4CD3-B40B-0A059FB94E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6358592"/>
        <c:axId val="556359248"/>
      </c:barChart>
      <c:catAx>
        <c:axId val="55635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359248"/>
        <c:crosses val="autoZero"/>
        <c:auto val="1"/>
        <c:lblAlgn val="ctr"/>
        <c:lblOffset val="100"/>
        <c:noMultiLvlLbl val="0"/>
      </c:catAx>
      <c:valAx>
        <c:axId val="5563592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35859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29204.5</c:v>
                </c:pt>
                <c:pt idx="1">
                  <c:v>33638.099999999991</c:v>
                </c:pt>
                <c:pt idx="2">
                  <c:v>37636.899999999994</c:v>
                </c:pt>
                <c:pt idx="3">
                  <c:v>39553.899999999994</c:v>
                </c:pt>
                <c:pt idx="4">
                  <c:v>49588.229999999996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7C-4F46-A032-B8DB48A273C9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11320.3</c:v>
                </c:pt>
                <c:pt idx="1">
                  <c:v>10733.899999999998</c:v>
                </c:pt>
                <c:pt idx="2">
                  <c:v>8807.7000000000007</c:v>
                </c:pt>
                <c:pt idx="3">
                  <c:v>11333.5</c:v>
                </c:pt>
                <c:pt idx="4">
                  <c:v>5916.3499999999985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7C-4F46-A032-B8DB48A273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6821760"/>
        <c:axId val="626826024"/>
      </c:barChart>
      <c:catAx>
        <c:axId val="626821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826024"/>
        <c:crosses val="autoZero"/>
        <c:auto val="1"/>
        <c:lblAlgn val="ctr"/>
        <c:lblOffset val="100"/>
        <c:noMultiLvlLbl val="0"/>
      </c:catAx>
      <c:valAx>
        <c:axId val="6268260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82176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29204.5</c:v>
                </c:pt>
                <c:pt idx="1">
                  <c:v>33638.099999999991</c:v>
                </c:pt>
                <c:pt idx="2">
                  <c:v>37636.899999999994</c:v>
                </c:pt>
                <c:pt idx="3">
                  <c:v>39553.899999999994</c:v>
                </c:pt>
                <c:pt idx="4">
                  <c:v>49588.229999999996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88-43F9-BE70-388F9F7C66F2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17884.2</c:v>
                </c:pt>
                <c:pt idx="1">
                  <c:v>22904.199999999997</c:v>
                </c:pt>
                <c:pt idx="2">
                  <c:v>28829.19999999999</c:v>
                </c:pt>
                <c:pt idx="3">
                  <c:v>28220.399999999994</c:v>
                </c:pt>
                <c:pt idx="4">
                  <c:v>43671.88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88-43F9-BE70-388F9F7C6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2203184"/>
        <c:axId val="562203512"/>
      </c:barChart>
      <c:catAx>
        <c:axId val="562203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2203512"/>
        <c:crosses val="autoZero"/>
        <c:auto val="1"/>
        <c:lblAlgn val="ctr"/>
        <c:lblOffset val="100"/>
        <c:noMultiLvlLbl val="0"/>
      </c:catAx>
      <c:valAx>
        <c:axId val="562203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220318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26063.3</c:v>
                </c:pt>
                <c:pt idx="1">
                  <c:v>28405.200000000004</c:v>
                </c:pt>
                <c:pt idx="2">
                  <c:v>31141.599999999999</c:v>
                </c:pt>
                <c:pt idx="3">
                  <c:v>31008.1</c:v>
                </c:pt>
                <c:pt idx="4">
                  <c:v>36626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07D-42A3-8115-102FFBD4A5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2181880"/>
        <c:axId val="562182208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32189.4</c:v>
                </c:pt>
                <c:pt idx="1">
                  <c:v>35276.299999999996</c:v>
                </c:pt>
                <c:pt idx="2">
                  <c:v>38060.1</c:v>
                </c:pt>
                <c:pt idx="3">
                  <c:v>38642.199999999997</c:v>
                </c:pt>
                <c:pt idx="4">
                  <c:v>45758.280000000006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07D-42A3-8115-102FFBD4A5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2179256"/>
        <c:axId val="562186800"/>
      </c:lineChart>
      <c:catAx>
        <c:axId val="562181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2182208"/>
        <c:crosses val="autoZero"/>
        <c:auto val="1"/>
        <c:lblAlgn val="ctr"/>
        <c:lblOffset val="100"/>
        <c:noMultiLvlLbl val="0"/>
      </c:catAx>
      <c:valAx>
        <c:axId val="562182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2181880"/>
        <c:crosses val="autoZero"/>
        <c:crossBetween val="between"/>
      </c:valAx>
      <c:valAx>
        <c:axId val="56218680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62179256"/>
        <c:crosses val="max"/>
        <c:crossBetween val="between"/>
      </c:valAx>
      <c:catAx>
        <c:axId val="562179256"/>
        <c:scaling>
          <c:orientation val="minMax"/>
        </c:scaling>
        <c:delete val="1"/>
        <c:axPos val="b"/>
        <c:majorTickMark val="out"/>
        <c:minorTickMark val="none"/>
        <c:tickLblPos val="nextTo"/>
        <c:crossAx val="562186800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 CF To Balance Sheet'!$C$4:$G$4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 CF To Balance Sheet'!$C$5:$G$5</c:f>
              <c:numCache>
                <c:formatCode>.00</c:formatCode>
                <c:ptCount val="5"/>
                <c:pt idx="0">
                  <c:v>2842.3000000000029</c:v>
                </c:pt>
                <c:pt idx="1">
                  <c:v>2863.5999999999922</c:v>
                </c:pt>
                <c:pt idx="2">
                  <c:v>1628.6999999999998</c:v>
                </c:pt>
                <c:pt idx="3">
                  <c:v>2643.2999999999984</c:v>
                </c:pt>
                <c:pt idx="4">
                  <c:v>5630.0800000000063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D-4D59-A9A3-322811786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6755928"/>
        <c:axId val="446758552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'Net Profit CF To Balance Sheet'!$C$6:$G$6</c:f>
              <c:numCache>
                <c:formatCode>.00</c:formatCode>
                <c:ptCount val="5"/>
                <c:pt idx="0">
                  <c:v>3786.1000000000026</c:v>
                </c:pt>
                <c:pt idx="1">
                  <c:v>4354.299999999992</c:v>
                </c:pt>
                <c:pt idx="2">
                  <c:v>4120.3999999999996</c:v>
                </c:pt>
                <c:pt idx="3">
                  <c:v>4402.4999999999982</c:v>
                </c:pt>
                <c:pt idx="4">
                  <c:v>5630.0800000000063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7FD-4D59-A9A3-322811786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756584"/>
        <c:axId val="446748384"/>
      </c:lineChart>
      <c:catAx>
        <c:axId val="446755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8552"/>
        <c:crosses val="autoZero"/>
        <c:auto val="1"/>
        <c:lblAlgn val="ctr"/>
        <c:lblOffset val="100"/>
        <c:noMultiLvlLbl val="0"/>
      </c:catAx>
      <c:valAx>
        <c:axId val="4467585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5928"/>
        <c:crosses val="autoZero"/>
        <c:crossBetween val="between"/>
      </c:valAx>
      <c:valAx>
        <c:axId val="44674838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46756584"/>
        <c:crosses val="max"/>
        <c:crossBetween val="between"/>
      </c:valAx>
      <c:catAx>
        <c:axId val="446756584"/>
        <c:scaling>
          <c:orientation val="minMax"/>
        </c:scaling>
        <c:delete val="1"/>
        <c:axPos val="b"/>
        <c:majorTickMark val="out"/>
        <c:minorTickMark val="none"/>
        <c:tickLblPos val="nextTo"/>
        <c:crossAx val="446748384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038-43F2-BA97-D0DC6CB297D9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038-43F2-BA97-D0DC6CB297D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Pay Out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Pay Out Ratio'!$C$12:$G$12</c:f>
              <c:numCache>
                <c:formatCode>General</c:formatCode>
                <c:ptCount val="5"/>
                <c:pt idx="0">
                  <c:v>0.25</c:v>
                </c:pt>
                <c:pt idx="1">
                  <c:v>0.34</c:v>
                </c:pt>
                <c:pt idx="2">
                  <c:v>0.6</c:v>
                </c:pt>
                <c:pt idx="3">
                  <c:v>0.4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038-43F2-BA97-D0DC6CB297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1078848"/>
        <c:axId val="551076224"/>
      </c:lineChart>
      <c:catAx>
        <c:axId val="55107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076224"/>
        <c:crosses val="autoZero"/>
        <c:auto val="0"/>
        <c:lblAlgn val="ctr"/>
        <c:lblOffset val="100"/>
        <c:noMultiLvlLbl val="0"/>
      </c:catAx>
      <c:valAx>
        <c:axId val="5510762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10788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91B-4CEC-B8E0-C93657466CFB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91B-4CEC-B8E0-C93657466CF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Retention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Retention Ratio'!$C$9:$G$9</c:f>
              <c:numCache>
                <c:formatCode>0.00%</c:formatCode>
                <c:ptCount val="5"/>
                <c:pt idx="0">
                  <c:v>-9.7200000000000006</c:v>
                </c:pt>
                <c:pt idx="1">
                  <c:v>-15.43</c:v>
                </c:pt>
                <c:pt idx="2">
                  <c:v>-26.82</c:v>
                </c:pt>
                <c:pt idx="3">
                  <c:v>-19.38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91B-4CEC-B8E0-C93657466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44568"/>
        <c:axId val="549643912"/>
      </c:lineChart>
      <c:catAx>
        <c:axId val="549644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643912"/>
        <c:crosses val="autoZero"/>
        <c:auto val="0"/>
        <c:lblAlgn val="ctr"/>
        <c:lblOffset val="100"/>
        <c:noMultiLvlLbl val="0"/>
      </c:catAx>
      <c:valAx>
        <c:axId val="5496439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496445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89-4C37-99EC-6BF940308727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789-4C37-99EC-6BF940308727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89-4C37-99EC-6BF940308727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789-4C37-99EC-6BF94030872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Profit'!$C$8:$G$8</c:f>
              <c:numCache>
                <c:formatCode>.00</c:formatCode>
                <c:ptCount val="5"/>
                <c:pt idx="0">
                  <c:v>30772.9</c:v>
                </c:pt>
                <c:pt idx="1">
                  <c:v>34742.1</c:v>
                </c:pt>
                <c:pt idx="2">
                  <c:v>36867.699999999997</c:v>
                </c:pt>
                <c:pt idx="3">
                  <c:v>37855.1</c:v>
                </c:pt>
                <c:pt idx="4">
                  <c:v>44645.98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789-4C37-99EC-6BF940308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949384"/>
        <c:axId val="546949056"/>
      </c:lineChart>
      <c:catAx>
        <c:axId val="546949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949056"/>
        <c:crosses val="autoZero"/>
        <c:auto val="0"/>
        <c:lblAlgn val="ctr"/>
        <c:lblOffset val="100"/>
        <c:noMultiLvlLbl val="0"/>
      </c:catAx>
      <c:valAx>
        <c:axId val="5469490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469493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B27-478D-8EC7-9D41EDB7AC1D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B27-478D-8EC7-9D41EDB7AC1D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B27-478D-8EC7-9D41EDB7AC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Profit'!$C$8:$G$8</c:f>
              <c:numCache>
                <c:formatCode>.00</c:formatCode>
                <c:ptCount val="5"/>
                <c:pt idx="0">
                  <c:v>4709.6000000000004</c:v>
                </c:pt>
                <c:pt idx="1">
                  <c:v>6336.9</c:v>
                </c:pt>
                <c:pt idx="2">
                  <c:v>5726.1</c:v>
                </c:pt>
                <c:pt idx="3">
                  <c:v>6847</c:v>
                </c:pt>
                <c:pt idx="4">
                  <c:v>8019.98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B27-478D-8EC7-9D41EDB7AC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5384"/>
        <c:axId val="364044728"/>
      </c:lineChart>
      <c:catAx>
        <c:axId val="364045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4728"/>
        <c:crosses val="autoZero"/>
        <c:auto val="0"/>
        <c:lblAlgn val="ctr"/>
        <c:lblOffset val="100"/>
        <c:noMultiLvlLbl val="0"/>
      </c:catAx>
      <c:valAx>
        <c:axId val="3640447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3640453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E36-4A25-864A-B337E5738605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E36-4A25-864A-B337E573860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E36-4A25-864A-B337E57386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Assets'!$C$3:$G$3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Assets'!$C$8:$G$8</c:f>
              <c:numCache>
                <c:formatCode>0.00%</c:formatCode>
                <c:ptCount val="5"/>
                <c:pt idx="0">
                  <c:v>0.13</c:v>
                </c:pt>
                <c:pt idx="1">
                  <c:v>0.13</c:v>
                </c:pt>
                <c:pt idx="2">
                  <c:v>0.11</c:v>
                </c:pt>
                <c:pt idx="3">
                  <c:v>0.11</c:v>
                </c:pt>
                <c:pt idx="4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E36-4A25-864A-B337E5738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2813856"/>
        <c:axId val="562812872"/>
      </c:lineChart>
      <c:catAx>
        <c:axId val="56281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2812872"/>
        <c:crosses val="autoZero"/>
        <c:auto val="0"/>
        <c:lblAlgn val="ctr"/>
        <c:lblOffset val="100"/>
        <c:noMultiLvlLbl val="0"/>
      </c:catAx>
      <c:valAx>
        <c:axId val="5628128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628138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BFF-433C-801F-408B0B936265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BFF-433C-801F-408B0B93626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CBFF-433C-801F-408B0B93626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Capital Employeed'!$C$3:$G$3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Capital Employeed'!$C$9:$G$9</c:f>
              <c:numCache>
                <c:formatCode>0.00%</c:formatCode>
                <c:ptCount val="5"/>
                <c:pt idx="0">
                  <c:v>1.46</c:v>
                </c:pt>
                <c:pt idx="1">
                  <c:v>2.04</c:v>
                </c:pt>
                <c:pt idx="2">
                  <c:v>1.1100000000000001</c:v>
                </c:pt>
                <c:pt idx="3">
                  <c:v>1.78</c:v>
                </c:pt>
                <c:pt idx="4">
                  <c:v>1.87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BFF-433C-801F-408B0B9362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2811232"/>
        <c:axId val="562813200"/>
      </c:lineChart>
      <c:catAx>
        <c:axId val="56281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2813200"/>
        <c:crosses val="autoZero"/>
        <c:auto val="0"/>
        <c:lblAlgn val="ctr"/>
        <c:lblOffset val="100"/>
        <c:noMultiLvlLbl val="0"/>
      </c:catAx>
      <c:valAx>
        <c:axId val="5628132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628112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BEA79C-8AAF-2270-0EB9-8307F43897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4ED536-133E-956A-19B1-5F9DC94346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8041C63-9794-28E4-44B2-E68F39DE34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736EFD-99D0-456A-F575-0F1D901844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55197C-460B-51B1-7D11-CBC804B4F8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026F70-567E-30B8-F200-E5B81DC66C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049246-B4CD-B963-F4D8-B6A695ED23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1433B1-05F0-045B-D62D-2C38AF5AEB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DAFA1AC-4B9D-E5D6-E07B-E81F76D9A4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CB5B5E-1D6D-4A2B-6280-2327020681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CD21C3-2834-B3E2-8D84-981C215522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37CF58-5416-BDF2-C2B3-8EF21DE9C1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37D44B-29B3-9E02-8FFA-66491ADF0E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2A72DF-4943-419E-3781-FC0399EDB8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03EB9B-3295-BC6A-1887-E84D92BDF1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D7B051-DEBD-F8DD-7AC3-BF2EC989C3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126A42-B9AE-4846-00F4-832FF8E3BE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1A1F42-8F79-12B6-608B-A11461297D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B1EA7C-F34E-2B5E-06B4-544FBF0643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20158D-5A65-F5FE-7D79-DD1C439A8F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12D10CFD-05FC-E407-323A-A6786F9DF8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1EE3C0A4-6D35-6DDC-4D2A-35DE7F1EF9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8EC37F-74D8-CFA3-6B7D-B939D87319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66329871-8250-379D-F630-2966008277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61519B53-D315-952D-590C-63C9C92DE1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82AD03D4-8171-65C2-29E1-662E748548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8BC8ECE1-AD8B-E628-C8F0-4A74331367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D4E4594D-0A14-070A-37E9-618B99C434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B2F233B0-51EE-04E5-48BD-3AA8785158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5FD368CC-A1F3-3A2E-E5E4-4E01D55219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A9D9024B-FF79-4C93-CD7F-0CDD575199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862F01F1-7D24-C6F8-E88F-C84F2B8B4A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68A87464-5BF6-2974-1441-732DD4E34A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A2226CD-9AA1-0328-8000-486F5092F7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7EF96C2-1FAC-A02A-F3F0-735EEA92C6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BAA31B-146D-46BA-E5CB-E7D6B0AD29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BC4E32-CBBC-CD19-1FCE-8FF6F2F036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CE161A-10CD-5503-315D-8106D7FCAC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B60A87-0DAB-D333-BB50-C8CA9D92D8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C259C-7CA3-45E0-AF54-31C5EB6E3235}">
  <dimension ref="A2:H55"/>
  <sheetViews>
    <sheetView topLeftCell="A45" workbookViewId="0">
      <selection activeCell="A55" sqref="A55"/>
    </sheetView>
  </sheetViews>
  <sheetFormatPr defaultRowHeight="15" x14ac:dyDescent="0.25"/>
  <sheetData>
    <row r="2" spans="1:8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3</v>
      </c>
      <c r="H4" t="s">
        <v>1</v>
      </c>
    </row>
    <row r="5" spans="1:8" x14ac:dyDescent="0.25">
      <c r="B5" t="s">
        <v>4</v>
      </c>
      <c r="H5" t="s">
        <v>1</v>
      </c>
    </row>
    <row r="6" spans="1:8" x14ac:dyDescent="0.25">
      <c r="A6" t="s">
        <v>5</v>
      </c>
      <c r="B6" t="s">
        <v>5</v>
      </c>
      <c r="C6">
        <v>441.7</v>
      </c>
      <c r="D6">
        <v>443.7</v>
      </c>
      <c r="E6">
        <v>435.8</v>
      </c>
      <c r="F6">
        <v>437</v>
      </c>
      <c r="G6">
        <v>438.81</v>
      </c>
      <c r="H6" t="s">
        <v>1</v>
      </c>
    </row>
    <row r="7" spans="1:8" x14ac:dyDescent="0.25">
      <c r="B7" t="s">
        <v>6</v>
      </c>
      <c r="C7">
        <v>441.7</v>
      </c>
      <c r="D7">
        <v>443.7</v>
      </c>
      <c r="E7">
        <v>435.8</v>
      </c>
      <c r="F7">
        <v>437</v>
      </c>
      <c r="G7">
        <v>438.81</v>
      </c>
      <c r="H7" t="s">
        <v>1</v>
      </c>
    </row>
    <row r="8" spans="1:8" x14ac:dyDescent="0.25">
      <c r="A8" t="s">
        <v>90</v>
      </c>
      <c r="B8" t="s">
        <v>7</v>
      </c>
      <c r="C8" s="2">
        <v>18398.7</v>
      </c>
      <c r="D8" s="2">
        <v>19432.400000000001</v>
      </c>
      <c r="E8" s="2">
        <v>20950.8</v>
      </c>
      <c r="F8" s="2">
        <v>23957.3</v>
      </c>
      <c r="G8" s="2">
        <v>26446.9</v>
      </c>
      <c r="H8" t="s">
        <v>1</v>
      </c>
    </row>
    <row r="9" spans="1:8" x14ac:dyDescent="0.25">
      <c r="B9" t="s">
        <v>8</v>
      </c>
      <c r="C9" s="2">
        <v>18398.7</v>
      </c>
      <c r="D9" s="2">
        <v>19432.400000000001</v>
      </c>
      <c r="E9" s="2">
        <v>20950.8</v>
      </c>
      <c r="F9" s="2">
        <v>23957.3</v>
      </c>
      <c r="G9" s="2">
        <v>26446.9</v>
      </c>
      <c r="H9" t="s">
        <v>1</v>
      </c>
    </row>
    <row r="10" spans="1:8" x14ac:dyDescent="0.25">
      <c r="B10" t="s">
        <v>9</v>
      </c>
      <c r="C10" s="2">
        <v>18840.400000000001</v>
      </c>
      <c r="D10" s="2">
        <v>20282.400000000001</v>
      </c>
      <c r="E10" s="2">
        <v>21812.3</v>
      </c>
      <c r="F10" s="2">
        <v>24859.8</v>
      </c>
      <c r="G10" s="2">
        <v>26885.71</v>
      </c>
      <c r="H10" t="s">
        <v>1</v>
      </c>
    </row>
    <row r="11" spans="1:8" x14ac:dyDescent="0.25">
      <c r="A11" t="s">
        <v>10</v>
      </c>
      <c r="B11" t="s">
        <v>10</v>
      </c>
      <c r="C11">
        <v>509.1</v>
      </c>
      <c r="D11">
        <v>477.7</v>
      </c>
      <c r="E11">
        <v>393.3</v>
      </c>
      <c r="F11">
        <v>379.5</v>
      </c>
      <c r="G11">
        <v>495.4</v>
      </c>
      <c r="H11" t="s">
        <v>1</v>
      </c>
    </row>
    <row r="12" spans="1:8" x14ac:dyDescent="0.25">
      <c r="B12" t="s">
        <v>11</v>
      </c>
      <c r="H12" t="s">
        <v>1</v>
      </c>
    </row>
    <row r="13" spans="1:8" x14ac:dyDescent="0.25">
      <c r="A13" t="s">
        <v>91</v>
      </c>
      <c r="B13" t="s">
        <v>12</v>
      </c>
      <c r="C13">
        <v>771.1</v>
      </c>
      <c r="D13">
        <v>208.6</v>
      </c>
      <c r="E13">
        <v>178.7</v>
      </c>
      <c r="F13">
        <v>165.8</v>
      </c>
      <c r="G13">
        <v>142</v>
      </c>
      <c r="H13" t="s">
        <v>1</v>
      </c>
    </row>
    <row r="14" spans="1:8" x14ac:dyDescent="0.25">
      <c r="A14" t="s">
        <v>91</v>
      </c>
      <c r="B14" t="s">
        <v>13</v>
      </c>
      <c r="C14">
        <v>5.8</v>
      </c>
      <c r="D14">
        <v>1.1000000000000001</v>
      </c>
      <c r="E14">
        <v>35.6</v>
      </c>
      <c r="F14">
        <v>76.099999999999994</v>
      </c>
      <c r="G14">
        <v>455.2</v>
      </c>
      <c r="H14" t="s">
        <v>1</v>
      </c>
    </row>
    <row r="15" spans="1:8" x14ac:dyDescent="0.25">
      <c r="A15" t="s">
        <v>92</v>
      </c>
      <c r="B15" t="s">
        <v>14</v>
      </c>
      <c r="C15" s="2">
        <v>606.20000000000005</v>
      </c>
      <c r="D15" s="2">
        <v>333.4</v>
      </c>
      <c r="E15" s="2">
        <v>2107.6</v>
      </c>
      <c r="F15">
        <v>1902.7</v>
      </c>
      <c r="G15">
        <v>2276.1</v>
      </c>
      <c r="H15" t="s">
        <v>1</v>
      </c>
    </row>
    <row r="16" spans="1:8" x14ac:dyDescent="0.25">
      <c r="A16" t="s">
        <v>93</v>
      </c>
      <c r="B16" t="s">
        <v>15</v>
      </c>
      <c r="C16">
        <v>555.1</v>
      </c>
      <c r="D16">
        <v>580.1</v>
      </c>
      <c r="E16">
        <v>669.1</v>
      </c>
      <c r="F16">
        <v>781</v>
      </c>
      <c r="G16">
        <v>881.1</v>
      </c>
      <c r="H16" t="s">
        <v>1</v>
      </c>
    </row>
    <row r="17" spans="1:8" x14ac:dyDescent="0.25">
      <c r="B17" t="s">
        <v>16</v>
      </c>
      <c r="C17" s="2">
        <v>1938.2</v>
      </c>
      <c r="D17" s="2">
        <v>1123.2</v>
      </c>
      <c r="E17" s="2">
        <v>2991</v>
      </c>
      <c r="F17" s="2">
        <v>2925.6</v>
      </c>
      <c r="G17" s="2">
        <v>3754.4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954.9</v>
      </c>
      <c r="D19" s="2">
        <v>1196.0999999999999</v>
      </c>
      <c r="E19" s="2">
        <v>2249.5</v>
      </c>
      <c r="F19" s="2">
        <v>1496</v>
      </c>
      <c r="G19">
        <v>1439.74</v>
      </c>
      <c r="H19" t="s">
        <v>1</v>
      </c>
    </row>
    <row r="20" spans="1:8" x14ac:dyDescent="0.25">
      <c r="A20" t="s">
        <v>92</v>
      </c>
      <c r="B20" t="s">
        <v>19</v>
      </c>
      <c r="C20" s="2">
        <v>2036.8</v>
      </c>
      <c r="D20" s="2">
        <v>2489.3000000000002</v>
      </c>
      <c r="E20" s="2">
        <v>3256.6</v>
      </c>
      <c r="F20" s="2">
        <v>2785</v>
      </c>
      <c r="G20" s="2">
        <v>4094.7</v>
      </c>
      <c r="H20" t="s">
        <v>1</v>
      </c>
    </row>
    <row r="21" spans="1:8" x14ac:dyDescent="0.25">
      <c r="A21" t="s">
        <v>92</v>
      </c>
      <c r="B21" t="s">
        <v>20</v>
      </c>
      <c r="C21" s="2">
        <v>4522.1000000000004</v>
      </c>
      <c r="D21" s="2">
        <v>6250.6</v>
      </c>
      <c r="E21" s="2">
        <v>4983.3</v>
      </c>
      <c r="F21" s="2">
        <v>5465.4</v>
      </c>
      <c r="G21" s="2">
        <v>7529.2</v>
      </c>
      <c r="H21" t="s">
        <v>1</v>
      </c>
    </row>
    <row r="22" spans="1:8" x14ac:dyDescent="0.25">
      <c r="A22" t="s">
        <v>93</v>
      </c>
      <c r="B22" t="s">
        <v>21</v>
      </c>
      <c r="C22">
        <v>403</v>
      </c>
      <c r="D22">
        <v>395.2</v>
      </c>
      <c r="E22">
        <v>436.4</v>
      </c>
      <c r="F22">
        <v>531.1</v>
      </c>
      <c r="G22">
        <v>671.6</v>
      </c>
      <c r="H22" t="s">
        <v>1</v>
      </c>
    </row>
    <row r="23" spans="1:8" x14ac:dyDescent="0.25">
      <c r="B23" t="s">
        <v>22</v>
      </c>
      <c r="C23" s="2">
        <v>7916.8</v>
      </c>
      <c r="D23" s="2">
        <v>10331.200000000001</v>
      </c>
      <c r="E23" s="2">
        <v>10925.8</v>
      </c>
      <c r="F23" s="2">
        <v>10277.5</v>
      </c>
      <c r="G23" s="2">
        <v>13735.24</v>
      </c>
      <c r="H23" t="s">
        <v>1</v>
      </c>
    </row>
    <row r="24" spans="1:8" x14ac:dyDescent="0.25">
      <c r="B24" t="s">
        <v>23</v>
      </c>
      <c r="C24" s="2">
        <v>30437.200000000001</v>
      </c>
      <c r="D24" s="2">
        <v>33446.9</v>
      </c>
      <c r="E24" s="2">
        <v>37353.5</v>
      </c>
      <c r="F24" s="2">
        <v>39678</v>
      </c>
      <c r="G24" s="2">
        <v>44870.74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3171.6</v>
      </c>
      <c r="D27" s="2">
        <v>2793.7</v>
      </c>
      <c r="E27" s="2">
        <v>3978.3</v>
      </c>
      <c r="F27" s="2">
        <v>3559.5</v>
      </c>
      <c r="G27" s="2">
        <v>6585.7</v>
      </c>
      <c r="H27" t="s">
        <v>1</v>
      </c>
    </row>
    <row r="28" spans="1:8" x14ac:dyDescent="0.25">
      <c r="A28" t="s">
        <v>29</v>
      </c>
      <c r="B28" t="s">
        <v>27</v>
      </c>
      <c r="C28">
        <v>1678.1</v>
      </c>
      <c r="D28" s="2">
        <v>1451.2</v>
      </c>
      <c r="E28" s="2">
        <v>1506</v>
      </c>
      <c r="F28" s="2">
        <v>1450.8</v>
      </c>
      <c r="G28" s="2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239.9</v>
      </c>
      <c r="D29">
        <v>276.3</v>
      </c>
      <c r="E29">
        <v>50.1</v>
      </c>
      <c r="F29">
        <v>118.3</v>
      </c>
      <c r="G29">
        <v>0</v>
      </c>
      <c r="H29" t="s">
        <v>1</v>
      </c>
    </row>
    <row r="30" spans="1:8" x14ac:dyDescent="0.25">
      <c r="B30" t="s">
        <v>29</v>
      </c>
      <c r="C30" s="2">
        <v>5089.6000000000004</v>
      </c>
      <c r="D30" s="2">
        <v>4521.2</v>
      </c>
      <c r="E30" s="2">
        <v>5534.4</v>
      </c>
      <c r="F30" s="2">
        <v>5128.6000000000004</v>
      </c>
      <c r="G30" s="2">
        <v>6585.7</v>
      </c>
      <c r="H30" t="s">
        <v>1</v>
      </c>
    </row>
    <row r="31" spans="1:8" x14ac:dyDescent="0.25">
      <c r="A31" t="s">
        <v>94</v>
      </c>
      <c r="B31" t="s">
        <v>30</v>
      </c>
      <c r="C31">
        <v>1245.8</v>
      </c>
      <c r="D31">
        <v>752</v>
      </c>
      <c r="E31">
        <v>236</v>
      </c>
      <c r="F31">
        <v>575.70000000000005</v>
      </c>
      <c r="G31" s="2">
        <v>447.85</v>
      </c>
      <c r="H31" t="s">
        <v>1</v>
      </c>
    </row>
    <row r="32" spans="1:8" x14ac:dyDescent="0.25">
      <c r="A32" t="s">
        <v>95</v>
      </c>
      <c r="B32" t="s">
        <v>31</v>
      </c>
      <c r="C32">
        <v>576.6</v>
      </c>
      <c r="D32">
        <v>609.1</v>
      </c>
      <c r="E32">
        <v>844.3</v>
      </c>
      <c r="F32">
        <v>913.3</v>
      </c>
      <c r="G32">
        <v>819.1</v>
      </c>
      <c r="H32" t="s">
        <v>1</v>
      </c>
    </row>
    <row r="33" spans="1:8" x14ac:dyDescent="0.25">
      <c r="A33" t="s">
        <v>95</v>
      </c>
      <c r="B33" t="s">
        <v>32</v>
      </c>
      <c r="C33">
        <v>5.2</v>
      </c>
      <c r="D33">
        <v>4.3</v>
      </c>
      <c r="E33">
        <v>4.5</v>
      </c>
      <c r="F33">
        <v>4.7</v>
      </c>
      <c r="G33">
        <v>13.6</v>
      </c>
      <c r="H33" t="s">
        <v>1</v>
      </c>
    </row>
    <row r="34" spans="1:8" x14ac:dyDescent="0.25">
      <c r="A34" t="s">
        <v>95</v>
      </c>
      <c r="B34" t="s">
        <v>33</v>
      </c>
      <c r="C34" s="2">
        <v>2640.3</v>
      </c>
      <c r="D34" s="2">
        <v>3178.2</v>
      </c>
      <c r="E34" s="2">
        <v>4174.3</v>
      </c>
      <c r="F34" s="2">
        <v>3792.2</v>
      </c>
      <c r="G34" s="2">
        <v>5122.96</v>
      </c>
      <c r="H34" t="s">
        <v>1</v>
      </c>
    </row>
    <row r="35" spans="1:8" x14ac:dyDescent="0.25">
      <c r="B35" t="s">
        <v>34</v>
      </c>
      <c r="C35" s="2">
        <v>12330.2</v>
      </c>
      <c r="D35" s="2">
        <v>11881.1</v>
      </c>
      <c r="E35" s="2">
        <v>14181.2</v>
      </c>
      <c r="F35" s="2">
        <v>14422.7</v>
      </c>
      <c r="G35" s="2">
        <v>20415.04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 s="2">
        <v>3444.9</v>
      </c>
      <c r="D37" s="2">
        <v>6589.9</v>
      </c>
      <c r="E37" s="2">
        <v>5612.3</v>
      </c>
      <c r="F37" s="2">
        <v>9661.9</v>
      </c>
      <c r="G37" s="2">
        <v>4435.8999999999996</v>
      </c>
      <c r="H37" t="s">
        <v>1</v>
      </c>
    </row>
    <row r="38" spans="1:8" x14ac:dyDescent="0.25">
      <c r="A38" t="s">
        <v>96</v>
      </c>
      <c r="B38" t="s">
        <v>37</v>
      </c>
      <c r="C38">
        <v>65.900000000000006</v>
      </c>
      <c r="D38">
        <v>75.2</v>
      </c>
      <c r="E38">
        <v>35.799999999999997</v>
      </c>
      <c r="F38">
        <v>24.2</v>
      </c>
      <c r="G38">
        <v>40.5</v>
      </c>
      <c r="H38" t="s">
        <v>1</v>
      </c>
    </row>
    <row r="39" spans="1:8" x14ac:dyDescent="0.25">
      <c r="A39" t="s">
        <v>96</v>
      </c>
      <c r="B39" t="s">
        <v>38</v>
      </c>
      <c r="C39" s="2">
        <v>6497.9</v>
      </c>
      <c r="D39" s="2">
        <v>6958.6</v>
      </c>
      <c r="E39" s="2">
        <v>7577.2</v>
      </c>
      <c r="F39" s="2">
        <v>6472.8</v>
      </c>
      <c r="G39" s="2">
        <v>11933.4</v>
      </c>
      <c r="H39" t="s">
        <v>1</v>
      </c>
    </row>
    <row r="40" spans="1:8" x14ac:dyDescent="0.25">
      <c r="A40" t="s">
        <v>96</v>
      </c>
      <c r="B40" t="s">
        <v>39</v>
      </c>
      <c r="C40" s="2">
        <v>3044.3</v>
      </c>
      <c r="D40" s="2">
        <v>2358.6999999999998</v>
      </c>
      <c r="E40" s="2">
        <v>3148.3</v>
      </c>
      <c r="F40" s="2">
        <v>2835.2</v>
      </c>
      <c r="G40" s="2">
        <v>3974.5</v>
      </c>
      <c r="H40" t="s">
        <v>1</v>
      </c>
    </row>
    <row r="41" spans="1:8" x14ac:dyDescent="0.25">
      <c r="A41" t="s">
        <v>95</v>
      </c>
      <c r="B41" t="s">
        <v>40</v>
      </c>
      <c r="C41">
        <v>150</v>
      </c>
      <c r="D41">
        <v>0</v>
      </c>
      <c r="E41">
        <v>0</v>
      </c>
      <c r="F41">
        <v>0</v>
      </c>
      <c r="G41">
        <v>0</v>
      </c>
      <c r="H41" t="s">
        <v>1</v>
      </c>
    </row>
    <row r="42" spans="1:8" x14ac:dyDescent="0.25">
      <c r="A42" t="s">
        <v>95</v>
      </c>
      <c r="B42" t="s">
        <v>41</v>
      </c>
      <c r="C42" s="2">
        <v>4904</v>
      </c>
      <c r="D42" s="2">
        <v>5583.4</v>
      </c>
      <c r="E42" s="2">
        <v>6798.7</v>
      </c>
      <c r="F42" s="2">
        <v>6261.2</v>
      </c>
      <c r="G42" s="2">
        <v>4071.4</v>
      </c>
      <c r="H42" t="s">
        <v>1</v>
      </c>
    </row>
    <row r="43" spans="1:8" x14ac:dyDescent="0.25">
      <c r="B43" t="s">
        <v>42</v>
      </c>
      <c r="C43" s="2">
        <v>18107</v>
      </c>
      <c r="D43" s="2">
        <v>21565.8</v>
      </c>
      <c r="E43" s="2">
        <v>23172.3</v>
      </c>
      <c r="F43" s="2">
        <v>25255.3</v>
      </c>
      <c r="G43" s="2">
        <v>24455.7</v>
      </c>
      <c r="H43" t="s">
        <v>1</v>
      </c>
    </row>
    <row r="44" spans="1:8" x14ac:dyDescent="0.25">
      <c r="B44" t="s">
        <v>43</v>
      </c>
      <c r="C44" s="2">
        <v>30437.200000000001</v>
      </c>
      <c r="D44" s="2">
        <v>33446.9</v>
      </c>
      <c r="E44" s="2">
        <v>37353.5</v>
      </c>
      <c r="F44" s="2">
        <v>39678</v>
      </c>
      <c r="G44" s="2">
        <v>44870.74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9367.2999999999993</v>
      </c>
      <c r="D47" s="2">
        <v>6221.8</v>
      </c>
      <c r="E47" s="2">
        <v>6867.9</v>
      </c>
      <c r="F47" s="2">
        <v>7013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345.51</v>
      </c>
      <c r="D49">
        <v>345.51</v>
      </c>
      <c r="E49">
        <v>345.5</v>
      </c>
      <c r="F49">
        <v>345.5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0</v>
      </c>
      <c r="D51">
        <v>698.9</v>
      </c>
      <c r="E51">
        <v>3.3</v>
      </c>
      <c r="F51">
        <v>501.1</v>
      </c>
      <c r="G51">
        <v>0</v>
      </c>
      <c r="H51" t="s">
        <v>1</v>
      </c>
    </row>
    <row r="52" spans="2:8" x14ac:dyDescent="0.25">
      <c r="B52" t="s">
        <v>51</v>
      </c>
      <c r="C52">
        <v>110</v>
      </c>
      <c r="D52">
        <v>61.6</v>
      </c>
      <c r="E52">
        <v>232.6</v>
      </c>
      <c r="F52">
        <v>74.599999999999994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1430.5</v>
      </c>
      <c r="E54" s="2">
        <v>1009.7</v>
      </c>
      <c r="F54" s="2">
        <v>174.8</v>
      </c>
      <c r="G54">
        <v>0</v>
      </c>
      <c r="H54" t="s">
        <v>1</v>
      </c>
    </row>
    <row r="55" spans="2:8" x14ac:dyDescent="0.25">
      <c r="B55" t="s">
        <v>54</v>
      </c>
      <c r="C55">
        <v>1242.0999999999999</v>
      </c>
      <c r="D55" s="2">
        <v>5159.3999999999996</v>
      </c>
      <c r="E55" s="2">
        <v>4602.6000000000004</v>
      </c>
      <c r="F55" s="2">
        <v>9487.1</v>
      </c>
      <c r="G55" s="2">
        <v>0</v>
      </c>
      <c r="H55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C079D-BC85-4DAE-80B7-4E7E7E383300}">
  <dimension ref="B3:G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151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943.8</v>
      </c>
      <c r="D6" s="16">
        <f>'Income Statement'!D28</f>
        <v>1490.7</v>
      </c>
      <c r="E6" s="16">
        <f>'Income Statement'!E28</f>
        <v>2491.6999999999998</v>
      </c>
      <c r="F6" s="16">
        <f>'Income Statement'!F28</f>
        <v>1759.2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88.048837209302391</v>
      </c>
      <c r="D7" s="16">
        <f>'Income Statement'!D35</f>
        <v>90.714583333333167</v>
      </c>
      <c r="E7" s="16">
        <f>'Income Statement'!E35</f>
        <v>89.573913043478257</v>
      </c>
      <c r="F7" s="16">
        <f>'Income Statement'!F35</f>
        <v>86.323529411764667</v>
      </c>
      <c r="G7" s="16">
        <f>'Income Statement'!G35</f>
        <v>89.366349206349312</v>
      </c>
    </row>
    <row r="8" spans="2:7" ht="18.75" x14ac:dyDescent="0.25">
      <c r="B8" s="15" t="s">
        <v>148</v>
      </c>
      <c r="C8" s="16">
        <f>ROUND(C6/C7, 2)</f>
        <v>10.72</v>
      </c>
      <c r="D8" s="16">
        <f t="shared" ref="D8:G8" si="0">ROUND(D6/D7, 2)</f>
        <v>16.43</v>
      </c>
      <c r="E8" s="16">
        <f t="shared" si="0"/>
        <v>27.82</v>
      </c>
      <c r="F8" s="16">
        <f t="shared" si="0"/>
        <v>20.38</v>
      </c>
      <c r="G8" s="16">
        <f t="shared" si="0"/>
        <v>0</v>
      </c>
    </row>
    <row r="9" spans="2:7" ht="18.75" x14ac:dyDescent="0.25">
      <c r="B9" s="15" t="str">
        <f>'Income Statement'!B27</f>
        <v>Reported Net Profit(PAT)</v>
      </c>
      <c r="C9" s="16">
        <f>'Income Statement'!C27</f>
        <v>3786.1000000000026</v>
      </c>
      <c r="D9" s="16">
        <f>'Income Statement'!D27</f>
        <v>4354.299999999992</v>
      </c>
      <c r="E9" s="16">
        <f>'Income Statement'!E27</f>
        <v>4120.3999999999996</v>
      </c>
      <c r="F9" s="16">
        <f>'Income Statement'!F27</f>
        <v>4402.4999999999982</v>
      </c>
      <c r="G9" s="16">
        <f>'Income Statement'!G27</f>
        <v>5630.0800000000063</v>
      </c>
    </row>
    <row r="10" spans="2:7" ht="18.75" x14ac:dyDescent="0.25">
      <c r="B10" s="15" t="str">
        <f>'Income Statement'!B35</f>
        <v>Total Shares Outstanding(cr)</v>
      </c>
      <c r="C10" s="16">
        <f>'Income Statement'!C35</f>
        <v>88.048837209302391</v>
      </c>
      <c r="D10" s="16">
        <f>'Income Statement'!D35</f>
        <v>90.714583333333167</v>
      </c>
      <c r="E10" s="16">
        <f>'Income Statement'!E35</f>
        <v>89.573913043478257</v>
      </c>
      <c r="F10" s="16">
        <f>'Income Statement'!F35</f>
        <v>86.323529411764667</v>
      </c>
      <c r="G10" s="16">
        <f>'Income Statement'!G35</f>
        <v>89.366349206349312</v>
      </c>
    </row>
    <row r="11" spans="2:7" ht="18.75" x14ac:dyDescent="0.25">
      <c r="B11" s="15" t="s">
        <v>146</v>
      </c>
      <c r="C11" s="16">
        <f>C9/C10</f>
        <v>43</v>
      </c>
      <c r="D11" s="16">
        <f t="shared" ref="D11:G11" si="1">D9/D10</f>
        <v>48</v>
      </c>
      <c r="E11" s="16">
        <f t="shared" si="1"/>
        <v>46</v>
      </c>
      <c r="F11" s="16">
        <f t="shared" si="1"/>
        <v>51</v>
      </c>
      <c r="G11" s="16">
        <f t="shared" si="1"/>
        <v>62.999999999999993</v>
      </c>
    </row>
    <row r="12" spans="2:7" ht="18.75" x14ac:dyDescent="0.25">
      <c r="B12" s="17" t="s">
        <v>152</v>
      </c>
      <c r="C12" s="17">
        <f>ROUND(C8/C11, 2)</f>
        <v>0.25</v>
      </c>
      <c r="D12" s="17">
        <f t="shared" ref="D12:G12" si="2">ROUND(D8/D11, 2)</f>
        <v>0.34</v>
      </c>
      <c r="E12" s="17">
        <f t="shared" si="2"/>
        <v>0.6</v>
      </c>
      <c r="F12" s="17">
        <f t="shared" si="2"/>
        <v>0.4</v>
      </c>
      <c r="G12" s="17">
        <f t="shared" si="2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582B4E-C208-44E2-AD90-24FB37202EBA}">
  <dimension ref="B3:G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3" width="13.5703125" bestFit="1" customWidth="1"/>
    <col min="4" max="6" width="15.140625" bestFit="1" customWidth="1"/>
    <col min="7" max="7" width="12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153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943.8</v>
      </c>
      <c r="D6" s="16">
        <f>'Income Statement'!D28</f>
        <v>1490.7</v>
      </c>
      <c r="E6" s="16">
        <f>'Income Statement'!E28</f>
        <v>2491.6999999999998</v>
      </c>
      <c r="F6" s="16">
        <f>'Income Statement'!F28</f>
        <v>1759.2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88.048837209302391</v>
      </c>
      <c r="D7" s="16">
        <f>'Income Statement'!D35</f>
        <v>90.714583333333167</v>
      </c>
      <c r="E7" s="16">
        <f>'Income Statement'!E35</f>
        <v>89.573913043478257</v>
      </c>
      <c r="F7" s="16">
        <f>'Income Statement'!F35</f>
        <v>86.323529411764667</v>
      </c>
      <c r="G7" s="16">
        <f>'Income Statement'!G35</f>
        <v>89.366349206349312</v>
      </c>
    </row>
    <row r="8" spans="2:7" ht="18.75" x14ac:dyDescent="0.25">
      <c r="B8" s="15" t="s">
        <v>154</v>
      </c>
      <c r="C8" s="16">
        <f>ROUND(C6/C7, 2)</f>
        <v>10.72</v>
      </c>
      <c r="D8" s="16">
        <f t="shared" ref="D8:G8" si="0">ROUND(D6/D7, 2)</f>
        <v>16.43</v>
      </c>
      <c r="E8" s="16">
        <f t="shared" si="0"/>
        <v>27.82</v>
      </c>
      <c r="F8" s="16">
        <f t="shared" si="0"/>
        <v>20.38</v>
      </c>
      <c r="G8" s="16">
        <f t="shared" si="0"/>
        <v>0</v>
      </c>
    </row>
    <row r="9" spans="2:7" ht="18.75" x14ac:dyDescent="0.25">
      <c r="B9" s="17" t="s">
        <v>155</v>
      </c>
      <c r="C9" s="27">
        <f>1-C8</f>
        <v>-9.7200000000000006</v>
      </c>
      <c r="D9" s="27">
        <f t="shared" ref="D9:G9" si="1">1-D8</f>
        <v>-15.43</v>
      </c>
      <c r="E9" s="27">
        <f t="shared" si="1"/>
        <v>-26.82</v>
      </c>
      <c r="F9" s="27">
        <f t="shared" si="1"/>
        <v>-19.38</v>
      </c>
      <c r="G9" s="27">
        <f t="shared" si="1"/>
        <v>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33C2AD-FFE8-4CAA-B3FD-3A29D1C58014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156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30772.9</v>
      </c>
      <c r="D6" s="16">
        <f>'Income Statement'!D5</f>
        <v>34742.1</v>
      </c>
      <c r="E6" s="16">
        <f>'Income Statement'!E5</f>
        <v>36867.699999999997</v>
      </c>
      <c r="F6" s="16">
        <f>'Income Statement'!F5</f>
        <v>37855.1</v>
      </c>
      <c r="G6" s="16">
        <f>'Income Statement'!G5</f>
        <v>44645.98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0</v>
      </c>
      <c r="D7" s="16">
        <f>'Income Statement'!D11</f>
        <v>0</v>
      </c>
      <c r="E7" s="16">
        <f>'Income Statement'!E11</f>
        <v>0</v>
      </c>
      <c r="F7" s="16">
        <f>'Income Statement'!F11</f>
        <v>0</v>
      </c>
      <c r="G7" s="16">
        <f>'Income Statement'!G11</f>
        <v>0</v>
      </c>
    </row>
    <row r="8" spans="2:7" ht="18.75" x14ac:dyDescent="0.25">
      <c r="B8" s="17" t="s">
        <v>157</v>
      </c>
      <c r="C8" s="28">
        <f>ROUND(C6- C7, 2)</f>
        <v>30772.9</v>
      </c>
      <c r="D8" s="28">
        <f t="shared" ref="D8:G8" si="0">ROUND(D6- D7, 2)</f>
        <v>34742.1</v>
      </c>
      <c r="E8" s="28">
        <f t="shared" si="0"/>
        <v>36867.699999999997</v>
      </c>
      <c r="F8" s="28">
        <f t="shared" si="0"/>
        <v>37855.1</v>
      </c>
      <c r="G8" s="28">
        <f t="shared" si="0"/>
        <v>44645.98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92EB2-2449-44C7-BEA5-1B561C267D14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158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30772.9</v>
      </c>
      <c r="D6" s="16">
        <f>'Income Statement'!D5</f>
        <v>34742.1</v>
      </c>
      <c r="E6" s="16">
        <f>'Income Statement'!E5</f>
        <v>36867.699999999997</v>
      </c>
      <c r="F6" s="16">
        <f>'Income Statement'!F5</f>
        <v>37855.1</v>
      </c>
      <c r="G6" s="16">
        <f>'Income Statement'!G5</f>
        <v>44645.98</v>
      </c>
    </row>
    <row r="7" spans="2:7" ht="18.75" x14ac:dyDescent="0.25">
      <c r="B7" s="15" t="str">
        <f>'Income Statement'!B15</f>
        <v>Total Expenditure</v>
      </c>
      <c r="C7" s="16">
        <f>'Income Statement'!C15</f>
        <v>26063.3</v>
      </c>
      <c r="D7" s="16">
        <f>'Income Statement'!D15</f>
        <v>28405.200000000004</v>
      </c>
      <c r="E7" s="16">
        <f>'Income Statement'!E15</f>
        <v>31141.599999999999</v>
      </c>
      <c r="F7" s="16">
        <f>'Income Statement'!F15</f>
        <v>31008.1</v>
      </c>
      <c r="G7" s="16">
        <f>'Income Statement'!G15</f>
        <v>36626</v>
      </c>
    </row>
    <row r="8" spans="2:7" ht="18.75" x14ac:dyDescent="0.25">
      <c r="B8" s="17" t="s">
        <v>159</v>
      </c>
      <c r="C8" s="28">
        <f>ROUND(C6- C7, 2)</f>
        <v>4709.6000000000004</v>
      </c>
      <c r="D8" s="28">
        <f t="shared" ref="D8:G8" si="0">ROUND(D6- D7, 2)</f>
        <v>6336.9</v>
      </c>
      <c r="E8" s="28">
        <f t="shared" si="0"/>
        <v>5726.1</v>
      </c>
      <c r="F8" s="28">
        <f t="shared" si="0"/>
        <v>6847</v>
      </c>
      <c r="G8" s="28">
        <f t="shared" si="0"/>
        <v>8019.98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CBB57-590A-40C9-B256-276E28103DDA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160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3786.1000000000026</v>
      </c>
      <c r="D6" s="16">
        <f>'Income Statement'!D27</f>
        <v>4354.299999999992</v>
      </c>
      <c r="E6" s="16">
        <f>'Income Statement'!E27</f>
        <v>4120.3999999999996</v>
      </c>
      <c r="F6" s="16">
        <f>'Income Statement'!F27</f>
        <v>4402.4999999999982</v>
      </c>
      <c r="G6" s="16">
        <f>'Income Statement'!G27</f>
        <v>5630.0800000000063</v>
      </c>
    </row>
    <row r="7" spans="2:7" ht="18.75" x14ac:dyDescent="0.25">
      <c r="B7" s="15" t="str">
        <f>'Balance Sheet'!B40</f>
        <v>Total Assets</v>
      </c>
      <c r="C7" s="16">
        <f>'Balance Sheet'!C40</f>
        <v>29204.5</v>
      </c>
      <c r="D7" s="16">
        <f>'Balance Sheet'!D40</f>
        <v>33638.099999999991</v>
      </c>
      <c r="E7" s="16">
        <f>'Balance Sheet'!E40</f>
        <v>37636.899999999994</v>
      </c>
      <c r="F7" s="16">
        <f>'Balance Sheet'!F40</f>
        <v>39553.899999999994</v>
      </c>
      <c r="G7" s="16">
        <f>'Balance Sheet'!G40</f>
        <v>49588.229999999996</v>
      </c>
    </row>
    <row r="8" spans="2:7" ht="18.75" x14ac:dyDescent="0.25">
      <c r="B8" s="17" t="s">
        <v>161</v>
      </c>
      <c r="C8" s="27">
        <f>ROUND(C6/ C7, 2)</f>
        <v>0.13</v>
      </c>
      <c r="D8" s="27">
        <f t="shared" ref="D8:G8" si="0">ROUND(D6/ D7, 2)</f>
        <v>0.13</v>
      </c>
      <c r="E8" s="27">
        <f t="shared" si="0"/>
        <v>0.11</v>
      </c>
      <c r="F8" s="27">
        <f t="shared" si="0"/>
        <v>0.11</v>
      </c>
      <c r="G8" s="27">
        <f t="shared" si="0"/>
        <v>0.11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71CD62-492C-42F6-AC09-8AC74DB700F0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5041.1000000000022</v>
      </c>
      <c r="D6" s="16">
        <f>'Income Statement'!D19</f>
        <v>5741.8999999999915</v>
      </c>
      <c r="E6" s="16">
        <f>'Income Statement'!E19</f>
        <v>5472.7</v>
      </c>
      <c r="F6" s="16">
        <f>'Income Statement'!F19</f>
        <v>6176.3999999999987</v>
      </c>
      <c r="G6" s="16">
        <f>'Income Statement'!G19</f>
        <v>7611.8800000000065</v>
      </c>
    </row>
    <row r="7" spans="2:7" ht="18.75" x14ac:dyDescent="0.25">
      <c r="B7" s="15" t="str">
        <f>'Balance Sheet'!B13</f>
        <v>Total Debt</v>
      </c>
      <c r="C7" s="16">
        <f>'Balance Sheet'!C13</f>
        <v>1731.8</v>
      </c>
      <c r="D7" s="16">
        <f>'Balance Sheet'!D13</f>
        <v>1405.8</v>
      </c>
      <c r="E7" s="16">
        <f>'Balance Sheet'!E13</f>
        <v>2463.8000000000002</v>
      </c>
      <c r="F7" s="16">
        <f>'Balance Sheet'!F13</f>
        <v>1737.9</v>
      </c>
      <c r="G7" s="16">
        <f>'Balance Sheet'!G13</f>
        <v>2036.94</v>
      </c>
    </row>
    <row r="8" spans="2:7" ht="18.75" x14ac:dyDescent="0.25">
      <c r="B8" s="15" t="str">
        <f>'Balance Sheet'!B9</f>
        <v>Net Worth</v>
      </c>
      <c r="C8" s="16">
        <f>'Balance Sheet'!C9</f>
        <v>18840.400000000001</v>
      </c>
      <c r="D8" s="16">
        <f>'Balance Sheet'!D9</f>
        <v>21705.999999999993</v>
      </c>
      <c r="E8" s="16">
        <f>'Balance Sheet'!E9</f>
        <v>23326.799999999992</v>
      </c>
      <c r="F8" s="16">
        <f>'Balance Sheet'!F9</f>
        <v>25971.299999999992</v>
      </c>
      <c r="G8" s="16">
        <f>'Balance Sheet'!G9</f>
        <v>31603.19</v>
      </c>
    </row>
    <row r="9" spans="2:7" ht="18.75" x14ac:dyDescent="0.25">
      <c r="B9" s="17" t="s">
        <v>163</v>
      </c>
      <c r="C9" s="27">
        <f>ROUND(C6/ (C7+ C7), 2)</f>
        <v>1.46</v>
      </c>
      <c r="D9" s="27">
        <f t="shared" ref="D9:G9" si="0">ROUND(D6/ (D7+ D7), 2)</f>
        <v>2.04</v>
      </c>
      <c r="E9" s="27">
        <f t="shared" si="0"/>
        <v>1.1100000000000001</v>
      </c>
      <c r="F9" s="27">
        <f t="shared" si="0"/>
        <v>1.78</v>
      </c>
      <c r="G9" s="27">
        <f t="shared" si="0"/>
        <v>1.87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67DCFB-BD71-4064-A8D2-A5D4E0880C2E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164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3786.1000000000026</v>
      </c>
      <c r="D6" s="16">
        <f>'Income Statement'!D27</f>
        <v>4354.299999999992</v>
      </c>
      <c r="E6" s="16">
        <f>'Income Statement'!E27</f>
        <v>4120.3999999999996</v>
      </c>
      <c r="F6" s="16">
        <f>'Income Statement'!F27</f>
        <v>4402.4999999999982</v>
      </c>
      <c r="G6" s="16">
        <f>'Income Statement'!G27</f>
        <v>5630.0800000000063</v>
      </c>
    </row>
    <row r="7" spans="2:7" ht="18.75" x14ac:dyDescent="0.25">
      <c r="B7" s="15" t="str">
        <f>'Balance Sheet'!B9</f>
        <v>Net Worth</v>
      </c>
      <c r="C7" s="16">
        <f>'Balance Sheet'!C9</f>
        <v>18840.400000000001</v>
      </c>
      <c r="D7" s="16">
        <f>'Balance Sheet'!D9</f>
        <v>21705.999999999993</v>
      </c>
      <c r="E7" s="16">
        <f>'Balance Sheet'!E9</f>
        <v>23326.799999999992</v>
      </c>
      <c r="F7" s="16">
        <f>'Balance Sheet'!F9</f>
        <v>25971.299999999992</v>
      </c>
      <c r="G7" s="16">
        <f>'Balance Sheet'!G9</f>
        <v>31603.19</v>
      </c>
    </row>
    <row r="8" spans="2:7" ht="18.75" x14ac:dyDescent="0.25">
      <c r="B8" s="17" t="s">
        <v>165</v>
      </c>
      <c r="C8" s="27">
        <f>ROUND(C6/ (C7+ C7), 2)</f>
        <v>0.1</v>
      </c>
      <c r="D8" s="27">
        <f t="shared" ref="D8:G8" si="0">ROUND(D6/ (D7+ D7), 2)</f>
        <v>0.1</v>
      </c>
      <c r="E8" s="27">
        <f t="shared" si="0"/>
        <v>0.09</v>
      </c>
      <c r="F8" s="27">
        <f t="shared" si="0"/>
        <v>0.08</v>
      </c>
      <c r="G8" s="27">
        <f t="shared" si="0"/>
        <v>0.09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687D1-6904-467A-9F82-E2BA054CCD39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166</v>
      </c>
      <c r="C5" s="14"/>
      <c r="D5" s="14"/>
      <c r="E5" s="14"/>
      <c r="F5" s="14"/>
      <c r="G5" s="14"/>
    </row>
    <row r="6" spans="2:7" ht="18.75" x14ac:dyDescent="0.25">
      <c r="B6" s="15" t="str">
        <f>'Balance Sheet'!B13</f>
        <v>Total Debt</v>
      </c>
      <c r="C6" s="16">
        <f>'Balance Sheet'!C13</f>
        <v>1731.8</v>
      </c>
      <c r="D6" s="16">
        <f>'Balance Sheet'!D13</f>
        <v>1405.8</v>
      </c>
      <c r="E6" s="16">
        <f>'Balance Sheet'!E13</f>
        <v>2463.8000000000002</v>
      </c>
      <c r="F6" s="16">
        <f>'Balance Sheet'!F13</f>
        <v>1737.9</v>
      </c>
      <c r="G6" s="16">
        <f>'Balance Sheet'!G13</f>
        <v>2036.94</v>
      </c>
    </row>
    <row r="7" spans="2:7" ht="18.75" x14ac:dyDescent="0.25">
      <c r="B7" s="15" t="str">
        <f>'Balance Sheet'!B9</f>
        <v>Net Worth</v>
      </c>
      <c r="C7" s="16">
        <f>'Balance Sheet'!C9</f>
        <v>18840.400000000001</v>
      </c>
      <c r="D7" s="16">
        <f>'Balance Sheet'!D9</f>
        <v>21705.999999999993</v>
      </c>
      <c r="E7" s="16">
        <f>'Balance Sheet'!E9</f>
        <v>23326.799999999992</v>
      </c>
      <c r="F7" s="16">
        <f>'Balance Sheet'!F9</f>
        <v>25971.299999999992</v>
      </c>
      <c r="G7" s="16">
        <f>'Balance Sheet'!G9</f>
        <v>31603.19</v>
      </c>
    </row>
    <row r="8" spans="2:7" ht="18.75" x14ac:dyDescent="0.25">
      <c r="B8" s="17" t="s">
        <v>167</v>
      </c>
      <c r="C8" s="17">
        <f>ROUND(C6/ C7, 2)</f>
        <v>0.09</v>
      </c>
      <c r="D8" s="17">
        <f t="shared" ref="D8:G8" si="0">ROUND(D6/ D7, 2)</f>
        <v>0.06</v>
      </c>
      <c r="E8" s="17">
        <f t="shared" si="0"/>
        <v>0.11</v>
      </c>
      <c r="F8" s="17">
        <f t="shared" si="0"/>
        <v>7.0000000000000007E-2</v>
      </c>
      <c r="G8" s="17">
        <f t="shared" si="0"/>
        <v>0.06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251729-5809-4DE6-BA01-3A60AF918D51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168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17884.2</v>
      </c>
      <c r="D6" s="16">
        <f>'Balance Sheet'!D39</f>
        <v>22904.199999999997</v>
      </c>
      <c r="E6" s="16">
        <f>'Balance Sheet'!E39</f>
        <v>28829.19999999999</v>
      </c>
      <c r="F6" s="16">
        <f>'Balance Sheet'!F39</f>
        <v>28220.399999999994</v>
      </c>
      <c r="G6" s="16">
        <f>'Balance Sheet'!G39</f>
        <v>43671.88</v>
      </c>
    </row>
    <row r="7" spans="2:7" ht="18.75" x14ac:dyDescent="0.25">
      <c r="B7" s="15" t="str">
        <f>'Balance Sheet'!B19</f>
        <v>Total Current Liabilities</v>
      </c>
      <c r="C7" s="16">
        <f>'Balance Sheet'!C19</f>
        <v>8123.2000000000007</v>
      </c>
      <c r="D7" s="16">
        <f>'Balance Sheet'!D19</f>
        <v>10048.6</v>
      </c>
      <c r="E7" s="16">
        <f>'Balance Sheet'!E19</f>
        <v>11453</v>
      </c>
      <c r="F7" s="16">
        <f>'Balance Sheet'!F19</f>
        <v>11465.2</v>
      </c>
      <c r="G7" s="16">
        <f>'Balance Sheet'!G19</f>
        <v>15452.7</v>
      </c>
    </row>
    <row r="8" spans="2:7" ht="18.75" x14ac:dyDescent="0.25">
      <c r="B8" s="17" t="s">
        <v>169</v>
      </c>
      <c r="C8" s="17">
        <f>ROUND(C6/ C7, 2)</f>
        <v>2.2000000000000002</v>
      </c>
      <c r="D8" s="17">
        <f t="shared" ref="D8:G8" si="0">ROUND(D6/ D7, 2)</f>
        <v>2.2799999999999998</v>
      </c>
      <c r="E8" s="17">
        <f t="shared" si="0"/>
        <v>2.52</v>
      </c>
      <c r="F8" s="17">
        <f t="shared" si="0"/>
        <v>2.46</v>
      </c>
      <c r="G8" s="17">
        <f t="shared" si="0"/>
        <v>2.83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1B6C4A-B55B-4986-9D83-4CB019BA641E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170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17884.2</v>
      </c>
      <c r="D6" s="16">
        <f>'Balance Sheet'!D39</f>
        <v>22904.199999999997</v>
      </c>
      <c r="E6" s="16">
        <f>'Balance Sheet'!E39</f>
        <v>28829.19999999999</v>
      </c>
      <c r="F6" s="16">
        <f>'Balance Sheet'!F39</f>
        <v>28220.399999999994</v>
      </c>
      <c r="G6" s="16">
        <f>'Balance Sheet'!G39</f>
        <v>43671.88</v>
      </c>
    </row>
    <row r="7" spans="2:7" ht="18.75" x14ac:dyDescent="0.25">
      <c r="B7" s="15" t="str">
        <f>'Balance Sheet'!B36</f>
        <v>Inventories</v>
      </c>
      <c r="C7" s="16">
        <f>'Balance Sheet'!C36</f>
        <v>65.900000000000006</v>
      </c>
      <c r="D7" s="16">
        <f>'Balance Sheet'!D36</f>
        <v>75.2</v>
      </c>
      <c r="E7" s="16">
        <f>'Balance Sheet'!E36</f>
        <v>35.799999999999997</v>
      </c>
      <c r="F7" s="16">
        <f>'Balance Sheet'!F36</f>
        <v>24.2</v>
      </c>
      <c r="G7" s="16">
        <f>'Balance Sheet'!G36</f>
        <v>40.5</v>
      </c>
    </row>
    <row r="8" spans="2:7" ht="18.75" x14ac:dyDescent="0.25">
      <c r="B8" s="15" t="str">
        <f>'Balance Sheet'!B19</f>
        <v>Total Current Liabilities</v>
      </c>
      <c r="C8" s="16">
        <f>'Balance Sheet'!C19</f>
        <v>8123.2000000000007</v>
      </c>
      <c r="D8" s="16">
        <f>'Balance Sheet'!D19</f>
        <v>10048.6</v>
      </c>
      <c r="E8" s="16">
        <f>'Balance Sheet'!E19</f>
        <v>11453</v>
      </c>
      <c r="F8" s="16">
        <f>'Balance Sheet'!F19</f>
        <v>11465.2</v>
      </c>
      <c r="G8" s="16">
        <f>'Balance Sheet'!G19</f>
        <v>15452.7</v>
      </c>
    </row>
    <row r="9" spans="2:7" ht="18.75" x14ac:dyDescent="0.25">
      <c r="B9" s="17" t="s">
        <v>171</v>
      </c>
      <c r="C9" s="17">
        <f>ROUND((C6-C7)/ C8, 2)</f>
        <v>2.19</v>
      </c>
      <c r="D9" s="17">
        <f t="shared" ref="D9:G9" si="0">ROUND((D6-D7)/ D8, 2)</f>
        <v>2.27</v>
      </c>
      <c r="E9" s="17">
        <f t="shared" si="0"/>
        <v>2.5099999999999998</v>
      </c>
      <c r="F9" s="17">
        <f t="shared" si="0"/>
        <v>2.46</v>
      </c>
      <c r="G9" s="17">
        <f t="shared" si="0"/>
        <v>2.82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2CB4D-ABC9-4527-90F0-7E5B5B6BDBB3}">
  <dimension ref="A2:H41"/>
  <sheetViews>
    <sheetView topLeftCell="A23" workbookViewId="0">
      <selection activeCell="A41" sqref="A41"/>
    </sheetView>
  </sheetViews>
  <sheetFormatPr defaultRowHeight="15" x14ac:dyDescent="0.25"/>
  <sheetData>
    <row r="2" spans="1:8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56</v>
      </c>
      <c r="H4" t="s">
        <v>1</v>
      </c>
    </row>
    <row r="5" spans="1:8" x14ac:dyDescent="0.25">
      <c r="A5" t="s">
        <v>97</v>
      </c>
      <c r="B5" t="s">
        <v>97</v>
      </c>
      <c r="C5" s="2">
        <v>30772.9</v>
      </c>
      <c r="D5" s="2">
        <v>34742.1</v>
      </c>
      <c r="E5" s="2">
        <v>36867.699999999997</v>
      </c>
      <c r="F5" s="2">
        <v>37855.1</v>
      </c>
      <c r="G5" s="2">
        <v>44645.98</v>
      </c>
      <c r="H5" t="s">
        <v>1</v>
      </c>
    </row>
    <row r="6" spans="1:8" x14ac:dyDescent="0.25">
      <c r="A6" t="s">
        <v>98</v>
      </c>
      <c r="B6" t="s">
        <v>98</v>
      </c>
      <c r="C6">
        <v>0</v>
      </c>
      <c r="D6">
        <v>0</v>
      </c>
      <c r="E6">
        <v>0</v>
      </c>
      <c r="F6">
        <v>0</v>
      </c>
      <c r="G6">
        <v>0</v>
      </c>
      <c r="H6" t="s">
        <v>1</v>
      </c>
    </row>
    <row r="7" spans="1:8" x14ac:dyDescent="0.25">
      <c r="B7" t="s">
        <v>57</v>
      </c>
      <c r="C7" s="2">
        <v>30772.9</v>
      </c>
      <c r="D7" s="2">
        <v>34742.1</v>
      </c>
      <c r="E7" s="2">
        <v>36867.699999999997</v>
      </c>
      <c r="F7" s="2">
        <v>37855.1</v>
      </c>
      <c r="G7" s="2">
        <v>44645.98</v>
      </c>
      <c r="H7" t="s">
        <v>1</v>
      </c>
    </row>
    <row r="8" spans="1:8" x14ac:dyDescent="0.25">
      <c r="B8" t="s">
        <v>58</v>
      </c>
      <c r="C8" s="2">
        <v>30772.9</v>
      </c>
      <c r="D8" s="2">
        <v>34742.1</v>
      </c>
      <c r="E8" s="2">
        <v>36867.699999999997</v>
      </c>
      <c r="F8" s="2">
        <v>37855.1</v>
      </c>
      <c r="G8" s="2">
        <v>44645.98</v>
      </c>
      <c r="H8" t="s">
        <v>1</v>
      </c>
    </row>
    <row r="9" spans="1:8" x14ac:dyDescent="0.25">
      <c r="A9" t="s">
        <v>59</v>
      </c>
      <c r="B9" t="s">
        <v>59</v>
      </c>
      <c r="C9" s="2">
        <v>1416.5</v>
      </c>
      <c r="D9">
        <v>534.20000000000005</v>
      </c>
      <c r="E9" s="2">
        <v>1192.4000000000001</v>
      </c>
      <c r="F9">
        <v>787.1</v>
      </c>
      <c r="G9" s="2">
        <v>1112.3</v>
      </c>
      <c r="H9" t="s">
        <v>1</v>
      </c>
    </row>
    <row r="10" spans="1:8" x14ac:dyDescent="0.25">
      <c r="B10" t="s">
        <v>60</v>
      </c>
      <c r="C10" s="2">
        <v>32189.4</v>
      </c>
      <c r="D10" s="2">
        <v>35276.300000000003</v>
      </c>
      <c r="E10" s="2">
        <v>38060.1</v>
      </c>
      <c r="F10" s="2">
        <v>38642.199999999997</v>
      </c>
      <c r="G10" s="2">
        <v>45758.28</v>
      </c>
      <c r="H10" t="s">
        <v>1</v>
      </c>
    </row>
    <row r="11" spans="1:8" x14ac:dyDescent="0.25">
      <c r="B11" t="s">
        <v>61</v>
      </c>
      <c r="H11" t="s">
        <v>1</v>
      </c>
    </row>
    <row r="12" spans="1:8" x14ac:dyDescent="0.25">
      <c r="A12" t="s">
        <v>99</v>
      </c>
      <c r="B12" t="s">
        <v>62</v>
      </c>
      <c r="C12">
        <v>0</v>
      </c>
      <c r="D12">
        <v>0</v>
      </c>
      <c r="E12">
        <v>0</v>
      </c>
      <c r="F12">
        <v>0</v>
      </c>
      <c r="G12">
        <v>0</v>
      </c>
      <c r="H12" t="s">
        <v>1</v>
      </c>
    </row>
    <row r="13" spans="1:8" x14ac:dyDescent="0.25">
      <c r="B13" t="s">
        <v>63</v>
      </c>
      <c r="C13">
        <v>0</v>
      </c>
      <c r="D13">
        <v>0</v>
      </c>
      <c r="E13">
        <v>0</v>
      </c>
      <c r="F13">
        <v>0</v>
      </c>
      <c r="G13">
        <v>0</v>
      </c>
      <c r="H13" t="s">
        <v>1</v>
      </c>
    </row>
    <row r="14" spans="1:8" x14ac:dyDescent="0.25">
      <c r="A14" t="s">
        <v>99</v>
      </c>
      <c r="B14" t="s">
        <v>64</v>
      </c>
      <c r="C14">
        <v>3888</v>
      </c>
      <c r="D14" s="2">
        <v>4349.7</v>
      </c>
      <c r="E14" s="2">
        <v>5440.8</v>
      </c>
      <c r="F14" s="2">
        <v>4974.3</v>
      </c>
      <c r="G14" s="2">
        <v>0</v>
      </c>
      <c r="H14" t="s">
        <v>1</v>
      </c>
    </row>
    <row r="15" spans="1:8" x14ac:dyDescent="0.25">
      <c r="B15" t="s">
        <v>65</v>
      </c>
      <c r="C15">
        <v>0</v>
      </c>
      <c r="D15">
        <v>0</v>
      </c>
      <c r="E15">
        <v>0</v>
      </c>
      <c r="F15">
        <v>0</v>
      </c>
      <c r="G15">
        <v>0</v>
      </c>
      <c r="H15" t="s">
        <v>1</v>
      </c>
    </row>
    <row r="16" spans="1:8" x14ac:dyDescent="0.25">
      <c r="A16" t="s">
        <v>99</v>
      </c>
      <c r="B16" t="s">
        <v>66</v>
      </c>
      <c r="C16" s="2">
        <v>16624</v>
      </c>
      <c r="D16" s="2">
        <v>17507.900000000001</v>
      </c>
      <c r="E16" s="2">
        <v>18810</v>
      </c>
      <c r="F16" s="2">
        <v>19297.3</v>
      </c>
      <c r="G16" s="2">
        <v>22285.9</v>
      </c>
      <c r="H16" t="s">
        <v>1</v>
      </c>
    </row>
    <row r="17" spans="1:8" x14ac:dyDescent="0.25">
      <c r="A17" t="s">
        <v>100</v>
      </c>
      <c r="B17" t="s">
        <v>67</v>
      </c>
      <c r="C17">
        <v>162.4</v>
      </c>
      <c r="D17">
        <v>133.19999999999999</v>
      </c>
      <c r="E17">
        <v>191.9</v>
      </c>
      <c r="F17">
        <v>174</v>
      </c>
      <c r="G17">
        <v>162.6</v>
      </c>
      <c r="H17" t="s">
        <v>1</v>
      </c>
    </row>
    <row r="18" spans="1:8" x14ac:dyDescent="0.25">
      <c r="A18" t="s">
        <v>101</v>
      </c>
      <c r="B18" t="s">
        <v>68</v>
      </c>
      <c r="C18" s="2">
        <v>1085</v>
      </c>
      <c r="D18" s="2">
        <v>1129.2</v>
      </c>
      <c r="E18" s="2">
        <v>1445.8</v>
      </c>
      <c r="F18" s="2">
        <v>1457.7</v>
      </c>
      <c r="G18" s="2">
        <v>1520.4</v>
      </c>
      <c r="H18" t="s">
        <v>1</v>
      </c>
    </row>
    <row r="19" spans="1:8" x14ac:dyDescent="0.25">
      <c r="A19" t="s">
        <v>99</v>
      </c>
      <c r="B19" t="s">
        <v>69</v>
      </c>
      <c r="C19" s="2">
        <v>5551.3</v>
      </c>
      <c r="D19" s="2">
        <v>6547.6</v>
      </c>
      <c r="E19" s="2">
        <v>6890.8</v>
      </c>
      <c r="F19" s="2">
        <v>6736.5</v>
      </c>
      <c r="G19" s="2">
        <v>14340.1</v>
      </c>
      <c r="H19" t="s">
        <v>1</v>
      </c>
    </row>
    <row r="20" spans="1:8" x14ac:dyDescent="0.25">
      <c r="B20" t="s">
        <v>70</v>
      </c>
      <c r="C20" s="2">
        <v>27310.7</v>
      </c>
      <c r="D20" s="2">
        <v>29667.599999999999</v>
      </c>
      <c r="E20" s="2">
        <v>32996.800000000003</v>
      </c>
      <c r="F20" s="2">
        <v>32690.5</v>
      </c>
      <c r="G20" s="2">
        <v>38309</v>
      </c>
      <c r="H20" t="s">
        <v>1</v>
      </c>
    </row>
    <row r="21" spans="1:8" x14ac:dyDescent="0.25">
      <c r="B21" t="s">
        <v>71</v>
      </c>
      <c r="C21" s="2">
        <v>4878.7</v>
      </c>
      <c r="D21" s="2">
        <v>5608.7</v>
      </c>
      <c r="E21" s="2">
        <v>5063.3</v>
      </c>
      <c r="F21" s="2">
        <v>5951.7</v>
      </c>
      <c r="G21" s="2">
        <v>7449.28</v>
      </c>
      <c r="H21" t="s">
        <v>1</v>
      </c>
    </row>
    <row r="22" spans="1:8" x14ac:dyDescent="0.25">
      <c r="A22" t="s">
        <v>102</v>
      </c>
      <c r="B22" t="s">
        <v>72</v>
      </c>
      <c r="C22">
        <v>0</v>
      </c>
      <c r="D22">
        <v>0</v>
      </c>
      <c r="E22">
        <v>0</v>
      </c>
      <c r="F22">
        <v>0</v>
      </c>
      <c r="G22">
        <v>2.8</v>
      </c>
      <c r="H22" t="s">
        <v>1</v>
      </c>
    </row>
    <row r="23" spans="1:8" x14ac:dyDescent="0.25">
      <c r="B23" t="s">
        <v>73</v>
      </c>
      <c r="C23" s="2">
        <v>4878.7</v>
      </c>
      <c r="D23" s="2">
        <v>5608.7</v>
      </c>
      <c r="E23" s="2">
        <v>5063.3</v>
      </c>
      <c r="F23" s="2">
        <v>5951.7</v>
      </c>
      <c r="G23" s="2">
        <v>7452.08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1176.8</v>
      </c>
      <c r="D25" s="2">
        <v>1378.6</v>
      </c>
      <c r="E25" s="2">
        <v>1237.8</v>
      </c>
      <c r="F25" s="2">
        <v>1811.5</v>
      </c>
      <c r="G25" s="2">
        <v>1822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-84.2</v>
      </c>
      <c r="D27">
        <v>-124.2</v>
      </c>
      <c r="E27">
        <v>-77.400000000000006</v>
      </c>
      <c r="F27">
        <v>-211.6</v>
      </c>
      <c r="G27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1092.5999999999999</v>
      </c>
      <c r="D29" s="2">
        <v>1254.4000000000001</v>
      </c>
      <c r="E29" s="2">
        <v>1160.4000000000001</v>
      </c>
      <c r="F29" s="2">
        <v>1599.9</v>
      </c>
      <c r="G29" s="2">
        <v>1822</v>
      </c>
      <c r="H29" t="s">
        <v>1</v>
      </c>
    </row>
    <row r="30" spans="1:8" x14ac:dyDescent="0.25">
      <c r="B30" t="s">
        <v>80</v>
      </c>
      <c r="C30" s="2">
        <v>3786.1</v>
      </c>
      <c r="D30" s="2">
        <v>4354.3</v>
      </c>
      <c r="E30" s="2">
        <v>3902.9</v>
      </c>
      <c r="F30" s="2">
        <v>4351.8</v>
      </c>
      <c r="G30" s="2">
        <v>5630.08</v>
      </c>
      <c r="H30" t="s">
        <v>1</v>
      </c>
    </row>
    <row r="31" spans="1:8" x14ac:dyDescent="0.25">
      <c r="B31" t="s">
        <v>81</v>
      </c>
      <c r="C31" s="2">
        <v>3786.1</v>
      </c>
      <c r="D31" s="2">
        <v>4354.3</v>
      </c>
      <c r="E31" s="2">
        <v>3902.9</v>
      </c>
      <c r="F31" s="2">
        <v>4351.8</v>
      </c>
      <c r="G31" s="2">
        <v>5630.08</v>
      </c>
      <c r="H31" t="s">
        <v>1</v>
      </c>
    </row>
    <row r="32" spans="1:8" x14ac:dyDescent="0.25">
      <c r="B32" t="s">
        <v>82</v>
      </c>
      <c r="C32" s="2">
        <v>3786.1</v>
      </c>
      <c r="D32" s="2">
        <v>4354.3</v>
      </c>
      <c r="E32" s="2">
        <v>3902.9</v>
      </c>
      <c r="F32" s="2">
        <v>4351.8</v>
      </c>
      <c r="G32" s="2">
        <v>5630.08</v>
      </c>
      <c r="H32" t="s">
        <v>1</v>
      </c>
    </row>
    <row r="33" spans="1:8" x14ac:dyDescent="0.25">
      <c r="B33" t="s">
        <v>10</v>
      </c>
      <c r="C33">
        <v>13.6</v>
      </c>
      <c r="D33">
        <v>8.8000000000000007</v>
      </c>
      <c r="E33">
        <v>135.6</v>
      </c>
      <c r="F33">
        <v>75</v>
      </c>
      <c r="G33">
        <v>-64</v>
      </c>
      <c r="H33" t="s">
        <v>1</v>
      </c>
    </row>
    <row r="34" spans="1:8" x14ac:dyDescent="0.25">
      <c r="B34" t="s">
        <v>83</v>
      </c>
      <c r="C34" s="2">
        <v>3799.8</v>
      </c>
      <c r="D34" s="2">
        <v>4297.6000000000004</v>
      </c>
      <c r="E34" s="2">
        <v>4033</v>
      </c>
      <c r="F34" s="2">
        <v>4428</v>
      </c>
      <c r="G34" s="2">
        <v>5566.08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43</v>
      </c>
      <c r="D37">
        <v>48</v>
      </c>
      <c r="E37">
        <v>46</v>
      </c>
      <c r="F37">
        <v>51</v>
      </c>
      <c r="G37">
        <v>63</v>
      </c>
      <c r="H37" t="s">
        <v>1</v>
      </c>
    </row>
    <row r="38" spans="1:8" x14ac:dyDescent="0.25">
      <c r="B38" t="s">
        <v>86</v>
      </c>
      <c r="C38">
        <v>43</v>
      </c>
      <c r="D38">
        <v>48</v>
      </c>
      <c r="E38">
        <v>46</v>
      </c>
      <c r="F38">
        <v>50</v>
      </c>
      <c r="G38">
        <v>63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943.8</v>
      </c>
      <c r="D40" s="2">
        <v>1490.7</v>
      </c>
      <c r="E40" s="2">
        <v>2491.6999999999998</v>
      </c>
      <c r="F40" s="2">
        <v>1759.2</v>
      </c>
      <c r="G40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0</v>
      </c>
      <c r="D41">
        <v>0</v>
      </c>
      <c r="E41">
        <v>0</v>
      </c>
      <c r="F41">
        <v>0</v>
      </c>
      <c r="G41">
        <v>0</v>
      </c>
      <c r="H41" t="s"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9455B-F9B9-4FD1-9197-1A087878A4AF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5041.1000000000022</v>
      </c>
      <c r="D6" s="16">
        <f>'Income Statement'!D19</f>
        <v>5741.8999999999915</v>
      </c>
      <c r="E6" s="16">
        <f>'Income Statement'!E19</f>
        <v>5472.7</v>
      </c>
      <c r="F6" s="16">
        <f>'Income Statement'!F19</f>
        <v>6176.3999999999987</v>
      </c>
      <c r="G6" s="16">
        <f>'Income Statement'!G19</f>
        <v>7611.8800000000065</v>
      </c>
    </row>
    <row r="7" spans="2:7" ht="18.75" x14ac:dyDescent="0.25">
      <c r="B7" s="15" t="str">
        <f>'Income Statement'!B20</f>
        <v>Finance Costs</v>
      </c>
      <c r="C7" s="16">
        <f>'Income Statement'!C20</f>
        <v>162.4</v>
      </c>
      <c r="D7" s="16">
        <f>'Income Statement'!D20</f>
        <v>133.19999999999999</v>
      </c>
      <c r="E7" s="16">
        <f>'Income Statement'!E20</f>
        <v>191.9</v>
      </c>
      <c r="F7" s="16">
        <f>'Income Statement'!F20</f>
        <v>174</v>
      </c>
      <c r="G7" s="16">
        <f>'Income Statement'!G20</f>
        <v>162.6</v>
      </c>
    </row>
    <row r="8" spans="2:7" ht="18.75" x14ac:dyDescent="0.25">
      <c r="B8" s="17" t="s">
        <v>173</v>
      </c>
      <c r="C8" s="17">
        <f>ROUND(C6/C7, 2)</f>
        <v>31.04</v>
      </c>
      <c r="D8" s="17">
        <f t="shared" ref="D8:G8" si="0">ROUND(D6/D7, 2)</f>
        <v>43.11</v>
      </c>
      <c r="E8" s="17">
        <f t="shared" si="0"/>
        <v>28.52</v>
      </c>
      <c r="F8" s="17">
        <f t="shared" si="0"/>
        <v>35.5</v>
      </c>
      <c r="G8" s="17">
        <f t="shared" si="0"/>
        <v>46.81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69E16-05E8-4E9F-A9BD-DD3F9E2066B4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174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0</v>
      </c>
      <c r="D6" s="16">
        <f>'Income Statement'!D11</f>
        <v>0</v>
      </c>
      <c r="E6" s="16">
        <f>'Income Statement'!E11</f>
        <v>0</v>
      </c>
      <c r="F6" s="16">
        <f>'Income Statement'!F11</f>
        <v>0</v>
      </c>
      <c r="G6" s="16">
        <f>'Income Statement'!G11</f>
        <v>0</v>
      </c>
    </row>
    <row r="7" spans="2:7" ht="18.75" x14ac:dyDescent="0.25">
      <c r="B7" s="15" t="str">
        <f>'Income Statement'!B7</f>
        <v>Net Sales</v>
      </c>
      <c r="C7" s="16">
        <f>'Income Statement'!C7</f>
        <v>30772.9</v>
      </c>
      <c r="D7" s="16">
        <f>'Income Statement'!D7</f>
        <v>34742.1</v>
      </c>
      <c r="E7" s="16">
        <f>'Income Statement'!E7</f>
        <v>36867.699999999997</v>
      </c>
      <c r="F7" s="16">
        <f>'Income Statement'!F7</f>
        <v>37855.1</v>
      </c>
      <c r="G7" s="16">
        <f>'Income Statement'!G7</f>
        <v>44645.98</v>
      </c>
    </row>
    <row r="8" spans="2:7" ht="18.75" x14ac:dyDescent="0.25">
      <c r="B8" s="17" t="s">
        <v>175</v>
      </c>
      <c r="C8" s="17">
        <f>ROUND(C6/C7, 2)</f>
        <v>0</v>
      </c>
      <c r="D8" s="17">
        <f t="shared" ref="D8:G8" si="0">ROUND(D6/D7, 2)</f>
        <v>0</v>
      </c>
      <c r="E8" s="17">
        <f t="shared" si="0"/>
        <v>0</v>
      </c>
      <c r="F8" s="17">
        <f t="shared" si="0"/>
        <v>0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636BA-D259-4193-9A2F-4C1F73179A39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5" width="11.5703125" bestFit="1" customWidth="1"/>
    <col min="6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176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3044.3</v>
      </c>
      <c r="D6" s="16">
        <f>'Balance Sheet'!D38</f>
        <v>6495.3999999999924</v>
      </c>
      <c r="E6" s="16">
        <f>'Balance Sheet'!E38</f>
        <v>9394.3999999999905</v>
      </c>
      <c r="F6" s="16">
        <f>'Balance Sheet'!F38</f>
        <v>10751.999999999991</v>
      </c>
      <c r="G6" s="16">
        <f>'Balance Sheet'!G38</f>
        <v>21670.92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0</v>
      </c>
      <c r="D7" s="16">
        <f>'Income Statement'!D11</f>
        <v>0</v>
      </c>
      <c r="E7" s="16">
        <f>'Income Statement'!E11</f>
        <v>0</v>
      </c>
      <c r="F7" s="16">
        <f>'Income Statement'!F11</f>
        <v>0</v>
      </c>
      <c r="G7" s="16">
        <f>'Income Statement'!G11</f>
        <v>0</v>
      </c>
    </row>
    <row r="8" spans="2:7" ht="18.75" x14ac:dyDescent="0.25">
      <c r="B8" s="17" t="s">
        <v>177</v>
      </c>
      <c r="C8" s="17" t="e">
        <f>ROUND(C6/C7*365, 2)</f>
        <v>#DIV/0!</v>
      </c>
      <c r="D8" s="17" t="e">
        <f t="shared" ref="D8:G8" si="0">ROUND(D6/D7*365, 2)</f>
        <v>#DIV/0!</v>
      </c>
      <c r="E8" s="17" t="e">
        <f t="shared" si="0"/>
        <v>#DIV/0!</v>
      </c>
      <c r="F8" s="17" t="e">
        <f t="shared" si="0"/>
        <v>#DIV/0!</v>
      </c>
      <c r="G8" s="17" t="e">
        <f t="shared" si="0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E98E8-0FF1-47EE-9BE6-F7C7169E2C35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5" width="11.5703125" bestFit="1" customWidth="1"/>
    <col min="6" max="6" width="13.140625" bestFit="1" customWidth="1"/>
    <col min="7" max="7" width="14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178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3044.3</v>
      </c>
      <c r="D6" s="16">
        <f>'Balance Sheet'!D38</f>
        <v>6495.3999999999924</v>
      </c>
      <c r="E6" s="16">
        <f>'Balance Sheet'!E38</f>
        <v>9394.3999999999905</v>
      </c>
      <c r="F6" s="16">
        <f>'Balance Sheet'!F38</f>
        <v>10751.999999999991</v>
      </c>
      <c r="G6" s="16">
        <f>'Balance Sheet'!G38</f>
        <v>21670.92</v>
      </c>
    </row>
    <row r="7" spans="2:7" ht="18.75" x14ac:dyDescent="0.25">
      <c r="B7" s="15" t="s">
        <v>179</v>
      </c>
      <c r="C7" s="16">
        <v>365</v>
      </c>
      <c r="D7" s="16">
        <v>365</v>
      </c>
      <c r="E7" s="16">
        <v>365</v>
      </c>
      <c r="F7" s="16">
        <v>365</v>
      </c>
      <c r="G7" s="16">
        <v>365</v>
      </c>
    </row>
    <row r="8" spans="2:7" ht="18.75" x14ac:dyDescent="0.25">
      <c r="B8" s="17" t="s">
        <v>180</v>
      </c>
      <c r="C8" s="17">
        <f>ROUND(C6/C7*365, 2)</f>
        <v>3044.3</v>
      </c>
      <c r="D8" s="17">
        <f t="shared" ref="D8:G8" si="0">ROUND(D6/D7*365, 2)</f>
        <v>6495.4</v>
      </c>
      <c r="E8" s="17">
        <f t="shared" si="0"/>
        <v>9394.4</v>
      </c>
      <c r="F8" s="17">
        <f t="shared" si="0"/>
        <v>10752</v>
      </c>
      <c r="G8" s="17">
        <f t="shared" si="0"/>
        <v>21670.92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B55E08-ACF3-443D-A480-E2A9EAB4371A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30772.9</v>
      </c>
      <c r="D6" s="16">
        <f>'Income Statement'!D5</f>
        <v>34742.1</v>
      </c>
      <c r="E6" s="16">
        <f>'Income Statement'!E5</f>
        <v>36867.699999999997</v>
      </c>
      <c r="F6" s="16">
        <f>'Income Statement'!F5</f>
        <v>37855.1</v>
      </c>
      <c r="G6" s="16">
        <f>'Income Statement'!G5</f>
        <v>44645.98</v>
      </c>
    </row>
    <row r="7" spans="2:7" ht="18.75" x14ac:dyDescent="0.25">
      <c r="B7" s="15" t="str">
        <f>'Balance Sheet'!B40</f>
        <v>Total Assets</v>
      </c>
      <c r="C7" s="16">
        <f>'Balance Sheet'!C40</f>
        <v>29204.5</v>
      </c>
      <c r="D7" s="16">
        <f>'Balance Sheet'!D40</f>
        <v>33638.099999999991</v>
      </c>
      <c r="E7" s="16">
        <f>'Balance Sheet'!E40</f>
        <v>37636.899999999994</v>
      </c>
      <c r="F7" s="16">
        <f>'Balance Sheet'!F40</f>
        <v>39553.899999999994</v>
      </c>
      <c r="G7" s="16">
        <f>'Balance Sheet'!G40</f>
        <v>49588.229999999996</v>
      </c>
    </row>
    <row r="8" spans="2:7" ht="18.75" x14ac:dyDescent="0.25">
      <c r="B8" s="17" t="s">
        <v>182</v>
      </c>
      <c r="C8" s="17">
        <f>ROUND(C6/C7, 2)</f>
        <v>1.05</v>
      </c>
      <c r="D8" s="17">
        <f t="shared" ref="D8:G8" si="0">ROUND(D6/D7, 2)</f>
        <v>1.03</v>
      </c>
      <c r="E8" s="17">
        <f t="shared" si="0"/>
        <v>0.98</v>
      </c>
      <c r="F8" s="17">
        <f t="shared" si="0"/>
        <v>0.96</v>
      </c>
      <c r="G8" s="17">
        <f t="shared" si="0"/>
        <v>0.9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8F014-C506-49C1-BC16-CF145BE6F52E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183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30772.9</v>
      </c>
      <c r="D6" s="16">
        <f>'Income Statement'!D5</f>
        <v>34742.1</v>
      </c>
      <c r="E6" s="16">
        <f>'Income Statement'!E5</f>
        <v>36867.699999999997</v>
      </c>
      <c r="F6" s="16">
        <f>'Income Statement'!F5</f>
        <v>37855.1</v>
      </c>
      <c r="G6" s="16">
        <f>'Income Statement'!G5</f>
        <v>44645.98</v>
      </c>
    </row>
    <row r="7" spans="2:7" ht="18.75" x14ac:dyDescent="0.25">
      <c r="B7" s="15" t="str">
        <f>'Balance Sheet'!B36</f>
        <v>Inventories</v>
      </c>
      <c r="C7" s="16">
        <f>'Balance Sheet'!C36</f>
        <v>65.900000000000006</v>
      </c>
      <c r="D7" s="16">
        <f>'Balance Sheet'!D36</f>
        <v>75.2</v>
      </c>
      <c r="E7" s="16">
        <f>'Balance Sheet'!E36</f>
        <v>35.799999999999997</v>
      </c>
      <c r="F7" s="16">
        <f>'Balance Sheet'!F36</f>
        <v>24.2</v>
      </c>
      <c r="G7" s="16">
        <f>'Balance Sheet'!G36</f>
        <v>40.5</v>
      </c>
    </row>
    <row r="8" spans="2:7" ht="18.75" x14ac:dyDescent="0.25">
      <c r="B8" s="17" t="s">
        <v>184</v>
      </c>
      <c r="C8" s="17">
        <f>ROUND(C6/C7, 2)</f>
        <v>466.96</v>
      </c>
      <c r="D8" s="17">
        <f t="shared" ref="D8:G8" si="0">ROUND(D6/D7, 2)</f>
        <v>462</v>
      </c>
      <c r="E8" s="17">
        <f t="shared" si="0"/>
        <v>1029.82</v>
      </c>
      <c r="F8" s="17">
        <f t="shared" si="0"/>
        <v>1564.26</v>
      </c>
      <c r="G8" s="17">
        <f t="shared" si="0"/>
        <v>1102.3699999999999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85E45-E508-4C52-9D2A-CEEC8832201F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30772.9</v>
      </c>
      <c r="D6" s="16">
        <f>'Income Statement'!D5</f>
        <v>34742.1</v>
      </c>
      <c r="E6" s="16">
        <f>'Income Statement'!E5</f>
        <v>36867.699999999997</v>
      </c>
      <c r="F6" s="16">
        <f>'Income Statement'!F5</f>
        <v>37855.1</v>
      </c>
      <c r="G6" s="16">
        <f>'Income Statement'!G5</f>
        <v>44645.98</v>
      </c>
    </row>
    <row r="7" spans="2:7" ht="18.75" x14ac:dyDescent="0.25">
      <c r="B7" s="15" t="str">
        <f>'Balance Sheet'!B37</f>
        <v>Trade Receivables</v>
      </c>
      <c r="C7" s="16">
        <f>'Balance Sheet'!C37</f>
        <v>6497.9</v>
      </c>
      <c r="D7" s="16">
        <f>'Balance Sheet'!D37</f>
        <v>6958.6</v>
      </c>
      <c r="E7" s="16">
        <f>'Balance Sheet'!E37</f>
        <v>7577.2</v>
      </c>
      <c r="F7" s="16">
        <f>'Balance Sheet'!F37</f>
        <v>6472.8</v>
      </c>
      <c r="G7" s="16">
        <f>'Balance Sheet'!G37</f>
        <v>11933.4</v>
      </c>
    </row>
    <row r="8" spans="2:7" ht="18.75" x14ac:dyDescent="0.25">
      <c r="B8" s="17" t="s">
        <v>186</v>
      </c>
      <c r="C8" s="17">
        <f>ROUND(C6/C7, 2)</f>
        <v>4.74</v>
      </c>
      <c r="D8" s="17">
        <f t="shared" ref="D8:G8" si="0">ROUND(D6/D7, 2)</f>
        <v>4.99</v>
      </c>
      <c r="E8" s="17">
        <f t="shared" si="0"/>
        <v>4.87</v>
      </c>
      <c r="F8" s="17">
        <f t="shared" si="0"/>
        <v>5.85</v>
      </c>
      <c r="G8" s="17">
        <f t="shared" si="0"/>
        <v>3.74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CA551A-E2CF-4066-B6D1-9D253FD5B372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30772.9</v>
      </c>
      <c r="D6" s="16">
        <f>'Income Statement'!D5</f>
        <v>34742.1</v>
      </c>
      <c r="E6" s="16">
        <f>'Income Statement'!E5</f>
        <v>36867.699999999997</v>
      </c>
      <c r="F6" s="16">
        <f>'Income Statement'!F5</f>
        <v>37855.1</v>
      </c>
      <c r="G6" s="16">
        <f>'Income Statement'!G5</f>
        <v>44645.98</v>
      </c>
    </row>
    <row r="7" spans="2:7" ht="18.75" x14ac:dyDescent="0.25">
      <c r="B7" s="15" t="str">
        <f>'Balance Sheet'!B23</f>
        <v>Tangible Assets</v>
      </c>
      <c r="C7" s="16">
        <f>'Balance Sheet'!C23</f>
        <v>3171.6</v>
      </c>
      <c r="D7" s="16">
        <f>'Balance Sheet'!D23</f>
        <v>2793.7</v>
      </c>
      <c r="E7" s="16">
        <f>'Balance Sheet'!E23</f>
        <v>3978.3</v>
      </c>
      <c r="F7" s="16">
        <f>'Balance Sheet'!F23</f>
        <v>3559.5</v>
      </c>
      <c r="G7" s="16">
        <f>'Balance Sheet'!G23</f>
        <v>6585.7</v>
      </c>
    </row>
    <row r="8" spans="2:7" ht="18.75" x14ac:dyDescent="0.25">
      <c r="B8" s="17" t="s">
        <v>188</v>
      </c>
      <c r="C8" s="17">
        <f>ROUND(C6/C7, 2)</f>
        <v>9.6999999999999993</v>
      </c>
      <c r="D8" s="17">
        <f t="shared" ref="D8:G8" si="0">ROUND(D6/D7, 2)</f>
        <v>12.44</v>
      </c>
      <c r="E8" s="17">
        <f t="shared" si="0"/>
        <v>9.27</v>
      </c>
      <c r="F8" s="17">
        <f t="shared" si="0"/>
        <v>10.63</v>
      </c>
      <c r="G8" s="17">
        <f t="shared" si="0"/>
        <v>6.78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1632AA-753D-4691-BF9D-AB27534CD32B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3" width="11.5703125" bestFit="1" customWidth="1"/>
    <col min="4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189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0</v>
      </c>
      <c r="D6" s="16">
        <f>'Income Statement'!D11</f>
        <v>0</v>
      </c>
      <c r="E6" s="16">
        <f>'Income Statement'!E11</f>
        <v>0</v>
      </c>
      <c r="F6" s="16">
        <f>'Income Statement'!F11</f>
        <v>0</v>
      </c>
      <c r="G6" s="16">
        <f>'Income Statement'!G11</f>
        <v>0</v>
      </c>
    </row>
    <row r="7" spans="2:7" ht="18.75" x14ac:dyDescent="0.25">
      <c r="B7" s="15" t="str">
        <f>'Balance Sheet'!B19</f>
        <v>Total Current Liabilities</v>
      </c>
      <c r="C7" s="16">
        <f>'Balance Sheet'!C19</f>
        <v>8123.2000000000007</v>
      </c>
      <c r="D7" s="16">
        <f>'Balance Sheet'!D19</f>
        <v>10048.6</v>
      </c>
      <c r="E7" s="16">
        <f>'Balance Sheet'!E19</f>
        <v>11453</v>
      </c>
      <c r="F7" s="16">
        <f>'Balance Sheet'!F19</f>
        <v>11465.2</v>
      </c>
      <c r="G7" s="16">
        <f>'Balance Sheet'!G19</f>
        <v>15452.7</v>
      </c>
    </row>
    <row r="8" spans="2:7" ht="18.75" x14ac:dyDescent="0.25">
      <c r="B8" s="17" t="s">
        <v>190</v>
      </c>
      <c r="C8" s="17">
        <f>ROUND(C6/C7, 2)</f>
        <v>0</v>
      </c>
      <c r="D8" s="17">
        <f t="shared" ref="D8:G8" si="0">ROUND(D6/D7, 2)</f>
        <v>0</v>
      </c>
      <c r="E8" s="17">
        <f t="shared" si="0"/>
        <v>0</v>
      </c>
      <c r="F8" s="17">
        <f t="shared" si="0"/>
        <v>0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30C57-F840-4C39-A1DB-762DE06FA92B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30772.9</v>
      </c>
      <c r="D6" s="16">
        <f>'Income Statement'!D5</f>
        <v>34742.1</v>
      </c>
      <c r="E6" s="16">
        <f>'Income Statement'!E5</f>
        <v>36867.699999999997</v>
      </c>
      <c r="F6" s="16">
        <f>'Income Statement'!F5</f>
        <v>37855.1</v>
      </c>
      <c r="G6" s="16">
        <f>'Income Statement'!G5</f>
        <v>44645.98</v>
      </c>
    </row>
    <row r="7" spans="2:7" ht="18.75" x14ac:dyDescent="0.25">
      <c r="B7" s="15" t="str">
        <f>'Balance Sheet'!B36</f>
        <v>Inventories</v>
      </c>
      <c r="C7" s="16">
        <f>'Balance Sheet'!C36</f>
        <v>65.900000000000006</v>
      </c>
      <c r="D7" s="16">
        <f>'Balance Sheet'!D36</f>
        <v>75.2</v>
      </c>
      <c r="E7" s="16">
        <f>'Balance Sheet'!E36</f>
        <v>35.799999999999997</v>
      </c>
      <c r="F7" s="16">
        <f>'Balance Sheet'!F36</f>
        <v>24.2</v>
      </c>
      <c r="G7" s="16">
        <f>'Balance Sheet'!G36</f>
        <v>40.5</v>
      </c>
    </row>
    <row r="8" spans="2:7" ht="18.75" x14ac:dyDescent="0.25">
      <c r="B8" s="17" t="s">
        <v>192</v>
      </c>
      <c r="C8" s="17">
        <f>ROUND(365/C6*C7, 2)</f>
        <v>0.78</v>
      </c>
      <c r="D8" s="17">
        <f t="shared" ref="D8:G8" si="0">ROUND(365/D6*D7, 2)</f>
        <v>0.79</v>
      </c>
      <c r="E8" s="17">
        <f t="shared" si="0"/>
        <v>0.35</v>
      </c>
      <c r="F8" s="17">
        <f t="shared" si="0"/>
        <v>0.23</v>
      </c>
      <c r="G8" s="17">
        <f t="shared" si="0"/>
        <v>0.33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FD39EC-C2D3-46EF-A918-B60D52C685CC}">
  <dimension ref="B3:G35"/>
  <sheetViews>
    <sheetView showGridLines="0" topLeftCell="A13" workbookViewId="0">
      <selection activeCell="C30" sqref="C30:G30"/>
    </sheetView>
  </sheetViews>
  <sheetFormatPr defaultRowHeight="15" x14ac:dyDescent="0.25"/>
  <cols>
    <col min="2" max="2" width="57.140625" bestFit="1" customWidth="1"/>
    <col min="3" max="7" width="18.85546875" bestFit="1" customWidth="1"/>
  </cols>
  <sheetData>
    <row r="3" spans="2:7" ht="18.75" x14ac:dyDescent="0.25">
      <c r="B3" s="10" t="s">
        <v>120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97</v>
      </c>
      <c r="C5" s="5">
        <v>30772.9</v>
      </c>
      <c r="D5" s="5">
        <v>34742.1</v>
      </c>
      <c r="E5" s="5">
        <v>36867.699999999997</v>
      </c>
      <c r="F5" s="5">
        <v>37855.1</v>
      </c>
      <c r="G5" s="5">
        <v>44645.98</v>
      </c>
    </row>
    <row r="6" spans="2:7" ht="18.75" x14ac:dyDescent="0.25">
      <c r="B6" s="8" t="s">
        <v>98</v>
      </c>
      <c r="C6" s="4">
        <v>0</v>
      </c>
      <c r="D6" s="4">
        <v>0</v>
      </c>
      <c r="E6" s="4">
        <v>0</v>
      </c>
      <c r="F6" s="4">
        <v>0</v>
      </c>
      <c r="G6" s="4">
        <v>0</v>
      </c>
    </row>
    <row r="7" spans="2:7" ht="18.75" x14ac:dyDescent="0.25">
      <c r="B7" s="9" t="s">
        <v>105</v>
      </c>
      <c r="C7" s="7">
        <f>C5 - C6</f>
        <v>30772.9</v>
      </c>
      <c r="D7" s="7">
        <f t="shared" ref="D7:G7" si="0">D5 - D6</f>
        <v>34742.1</v>
      </c>
      <c r="E7" s="7">
        <f t="shared" si="0"/>
        <v>36867.699999999997</v>
      </c>
      <c r="F7" s="7">
        <f t="shared" si="0"/>
        <v>37855.1</v>
      </c>
      <c r="G7" s="7">
        <f t="shared" si="0"/>
        <v>44645.98</v>
      </c>
    </row>
    <row r="8" spans="2:7" ht="18.75" x14ac:dyDescent="0.25">
      <c r="B8" s="8" t="s">
        <v>59</v>
      </c>
      <c r="C8" s="5">
        <v>1416.5</v>
      </c>
      <c r="D8" s="4">
        <v>534.20000000000005</v>
      </c>
      <c r="E8" s="5">
        <v>1192.4000000000001</v>
      </c>
      <c r="F8" s="4">
        <v>787.1</v>
      </c>
      <c r="G8" s="5">
        <v>1112.3</v>
      </c>
    </row>
    <row r="9" spans="2:7" ht="18.75" x14ac:dyDescent="0.25">
      <c r="B9" s="8" t="s">
        <v>106</v>
      </c>
      <c r="C9" s="4"/>
      <c r="D9" s="4"/>
      <c r="E9" s="4"/>
      <c r="F9" s="4"/>
      <c r="G9" s="4"/>
    </row>
    <row r="10" spans="2:7" ht="18.75" x14ac:dyDescent="0.25">
      <c r="B10" s="9" t="s">
        <v>107</v>
      </c>
      <c r="C10" s="7">
        <f>SUM(C7:C9)</f>
        <v>32189.4</v>
      </c>
      <c r="D10" s="7">
        <f t="shared" ref="D10:G10" si="1">SUM(D7:D9)</f>
        <v>35276.299999999996</v>
      </c>
      <c r="E10" s="7">
        <f t="shared" si="1"/>
        <v>38060.1</v>
      </c>
      <c r="F10" s="7">
        <f t="shared" si="1"/>
        <v>38642.199999999997</v>
      </c>
      <c r="G10" s="7">
        <f t="shared" si="1"/>
        <v>45758.280000000006</v>
      </c>
    </row>
    <row r="11" spans="2:7" ht="18.75" x14ac:dyDescent="0.25">
      <c r="B11" s="8" t="s">
        <v>62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</row>
    <row r="12" spans="2:7" ht="18.75" x14ac:dyDescent="0.25">
      <c r="B12" s="8" t="s">
        <v>64</v>
      </c>
      <c r="C12" s="4">
        <v>3888</v>
      </c>
      <c r="D12" s="5">
        <v>4349.7</v>
      </c>
      <c r="E12" s="5">
        <v>5440.8</v>
      </c>
      <c r="F12" s="5">
        <v>4974.3</v>
      </c>
      <c r="G12" s="5">
        <v>0</v>
      </c>
    </row>
    <row r="13" spans="2:7" ht="18.75" x14ac:dyDescent="0.25">
      <c r="B13" s="8" t="s">
        <v>66</v>
      </c>
      <c r="C13" s="5">
        <v>16624</v>
      </c>
      <c r="D13" s="5">
        <v>17507.900000000001</v>
      </c>
      <c r="E13" s="5">
        <v>18810</v>
      </c>
      <c r="F13" s="5">
        <v>19297.3</v>
      </c>
      <c r="G13" s="5">
        <v>22285.9</v>
      </c>
    </row>
    <row r="14" spans="2:7" ht="18.75" x14ac:dyDescent="0.25">
      <c r="B14" s="8" t="s">
        <v>69</v>
      </c>
      <c r="C14" s="5">
        <v>5551.3</v>
      </c>
      <c r="D14" s="5">
        <v>6547.6</v>
      </c>
      <c r="E14" s="5">
        <v>6890.8</v>
      </c>
      <c r="F14" s="5">
        <v>6736.5</v>
      </c>
      <c r="G14" s="5">
        <v>14340.1</v>
      </c>
    </row>
    <row r="15" spans="2:7" ht="18.75" x14ac:dyDescent="0.25">
      <c r="B15" s="9" t="s">
        <v>108</v>
      </c>
      <c r="C15" s="7">
        <f>C11+C12+C13+C14</f>
        <v>26063.3</v>
      </c>
      <c r="D15" s="7">
        <f t="shared" ref="D15:G15" si="2">D11+D12+D13+D14</f>
        <v>28405.200000000004</v>
      </c>
      <c r="E15" s="7">
        <f t="shared" si="2"/>
        <v>31141.599999999999</v>
      </c>
      <c r="F15" s="7">
        <f t="shared" si="2"/>
        <v>31008.1</v>
      </c>
      <c r="G15" s="7">
        <f t="shared" si="2"/>
        <v>36626</v>
      </c>
    </row>
    <row r="16" spans="2:7" ht="18.75" x14ac:dyDescent="0.25">
      <c r="B16" s="9" t="s">
        <v>109</v>
      </c>
      <c r="C16" s="7">
        <f xml:space="preserve"> C10-C15-C8</f>
        <v>4709.6000000000022</v>
      </c>
      <c r="D16" s="7">
        <f t="shared" ref="D16:G16" si="3" xml:space="preserve"> D10-D15-D8</f>
        <v>6336.8999999999915</v>
      </c>
      <c r="E16" s="7">
        <f t="shared" si="3"/>
        <v>5726.1</v>
      </c>
      <c r="F16" s="7">
        <f t="shared" si="3"/>
        <v>6846.9999999999982</v>
      </c>
      <c r="G16" s="7">
        <f t="shared" si="3"/>
        <v>8019.9800000000059</v>
      </c>
    </row>
    <row r="17" spans="2:7" ht="18.75" x14ac:dyDescent="0.25">
      <c r="B17" s="9" t="s">
        <v>110</v>
      </c>
      <c r="C17" s="7">
        <f xml:space="preserve"> C16+C8</f>
        <v>6126.1000000000022</v>
      </c>
      <c r="D17" s="7">
        <f t="shared" ref="D17:G17" si="4" xml:space="preserve"> D16+D8</f>
        <v>6871.0999999999913</v>
      </c>
      <c r="E17" s="7">
        <f t="shared" si="4"/>
        <v>6918.5</v>
      </c>
      <c r="F17" s="7">
        <f t="shared" si="4"/>
        <v>7634.0999999999985</v>
      </c>
      <c r="G17" s="7">
        <f t="shared" si="4"/>
        <v>9132.2800000000061</v>
      </c>
    </row>
    <row r="18" spans="2:7" ht="18.75" x14ac:dyDescent="0.25">
      <c r="B18" s="8" t="s">
        <v>68</v>
      </c>
      <c r="C18" s="5">
        <v>1085</v>
      </c>
      <c r="D18" s="5">
        <v>1129.2</v>
      </c>
      <c r="E18" s="5">
        <v>1445.8</v>
      </c>
      <c r="F18" s="5">
        <v>1457.7</v>
      </c>
      <c r="G18" s="5">
        <v>1520.4</v>
      </c>
    </row>
    <row r="19" spans="2:7" ht="18.75" x14ac:dyDescent="0.25">
      <c r="B19" s="9" t="s">
        <v>111</v>
      </c>
      <c r="C19" s="7">
        <f xml:space="preserve"> C17-C18</f>
        <v>5041.1000000000022</v>
      </c>
      <c r="D19" s="7">
        <f t="shared" ref="D19:G19" si="5" xml:space="preserve"> D17-D18</f>
        <v>5741.8999999999915</v>
      </c>
      <c r="E19" s="7">
        <f t="shared" si="5"/>
        <v>5472.7</v>
      </c>
      <c r="F19" s="7">
        <f t="shared" si="5"/>
        <v>6176.3999999999987</v>
      </c>
      <c r="G19" s="7">
        <f t="shared" si="5"/>
        <v>7611.8800000000065</v>
      </c>
    </row>
    <row r="20" spans="2:7" ht="18.75" x14ac:dyDescent="0.25">
      <c r="B20" s="8" t="s">
        <v>67</v>
      </c>
      <c r="C20" s="4">
        <v>162.4</v>
      </c>
      <c r="D20" s="4">
        <v>133.19999999999999</v>
      </c>
      <c r="E20" s="4">
        <v>191.9</v>
      </c>
      <c r="F20" s="4">
        <v>174</v>
      </c>
      <c r="G20" s="4">
        <v>162.6</v>
      </c>
    </row>
    <row r="21" spans="2:7" ht="18.75" x14ac:dyDescent="0.25">
      <c r="B21" s="9" t="s">
        <v>112</v>
      </c>
      <c r="C21" s="7">
        <f xml:space="preserve"> C19-C20</f>
        <v>4878.7000000000025</v>
      </c>
      <c r="D21" s="7">
        <f t="shared" ref="D21:G21" si="6" xml:space="preserve"> D19-D20</f>
        <v>5608.6999999999916</v>
      </c>
      <c r="E21" s="7">
        <f t="shared" si="6"/>
        <v>5280.8</v>
      </c>
      <c r="F21" s="7">
        <f t="shared" si="6"/>
        <v>6002.3999999999987</v>
      </c>
      <c r="G21" s="7">
        <f t="shared" si="6"/>
        <v>7449.2800000000061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4878.7000000000025</v>
      </c>
      <c r="D23" s="7">
        <f t="shared" ref="D23:G23" si="7" xml:space="preserve"> D21+D22</f>
        <v>5608.6999999999916</v>
      </c>
      <c r="E23" s="7">
        <f t="shared" si="7"/>
        <v>5280.8</v>
      </c>
      <c r="F23" s="7">
        <f t="shared" si="7"/>
        <v>6002.3999999999987</v>
      </c>
      <c r="G23" s="7">
        <f t="shared" si="7"/>
        <v>7449.2800000000061</v>
      </c>
    </row>
    <row r="24" spans="2:7" ht="18.75" x14ac:dyDescent="0.25">
      <c r="B24" s="8" t="s">
        <v>72</v>
      </c>
      <c r="C24" s="4">
        <v>0</v>
      </c>
      <c r="D24" s="4">
        <v>0</v>
      </c>
      <c r="E24" s="4">
        <v>0</v>
      </c>
      <c r="F24" s="4">
        <v>0</v>
      </c>
      <c r="G24" s="4">
        <v>2.8</v>
      </c>
    </row>
    <row r="25" spans="2:7" ht="18.75" x14ac:dyDescent="0.25">
      <c r="B25" s="9" t="s">
        <v>115</v>
      </c>
      <c r="C25" s="7">
        <f xml:space="preserve"> C23+C24</f>
        <v>4878.7000000000025</v>
      </c>
      <c r="D25" s="7">
        <f t="shared" ref="D25:G25" si="8" xml:space="preserve"> D23+D24</f>
        <v>5608.6999999999916</v>
      </c>
      <c r="E25" s="7">
        <f t="shared" si="8"/>
        <v>5280.8</v>
      </c>
      <c r="F25" s="7">
        <f t="shared" si="8"/>
        <v>6002.3999999999987</v>
      </c>
      <c r="G25" s="7">
        <f t="shared" si="8"/>
        <v>7452.0800000000063</v>
      </c>
    </row>
    <row r="26" spans="2:7" ht="18.75" x14ac:dyDescent="0.25">
      <c r="B26" s="8" t="s">
        <v>79</v>
      </c>
      <c r="C26" s="5">
        <v>1092.5999999999999</v>
      </c>
      <c r="D26" s="5">
        <v>1254.4000000000001</v>
      </c>
      <c r="E26" s="5">
        <v>1160.4000000000001</v>
      </c>
      <c r="F26" s="5">
        <v>1599.9</v>
      </c>
      <c r="G26" s="5">
        <v>1822</v>
      </c>
    </row>
    <row r="27" spans="2:7" ht="18.75" x14ac:dyDescent="0.25">
      <c r="B27" s="9" t="s">
        <v>116</v>
      </c>
      <c r="C27" s="7">
        <f xml:space="preserve"> C25-C26</f>
        <v>3786.1000000000026</v>
      </c>
      <c r="D27" s="7">
        <f t="shared" ref="D27:G27" si="9" xml:space="preserve"> D25-D26</f>
        <v>4354.299999999992</v>
      </c>
      <c r="E27" s="7">
        <f t="shared" si="9"/>
        <v>4120.3999999999996</v>
      </c>
      <c r="F27" s="7">
        <f t="shared" si="9"/>
        <v>4402.4999999999982</v>
      </c>
      <c r="G27" s="7">
        <f t="shared" si="9"/>
        <v>5630.0800000000063</v>
      </c>
    </row>
    <row r="28" spans="2:7" ht="18.75" x14ac:dyDescent="0.25">
      <c r="B28" s="8" t="s">
        <v>88</v>
      </c>
      <c r="C28" s="4">
        <v>943.8</v>
      </c>
      <c r="D28" s="5">
        <v>1490.7</v>
      </c>
      <c r="E28" s="5">
        <v>2491.6999999999998</v>
      </c>
      <c r="F28" s="5">
        <v>1759.2</v>
      </c>
      <c r="G28" s="4">
        <v>0</v>
      </c>
    </row>
    <row r="29" spans="2:7" ht="18.75" x14ac:dyDescent="0.25">
      <c r="B29" s="8" t="s">
        <v>89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2842.3000000000029</v>
      </c>
      <c r="D30" s="7">
        <f t="shared" ref="D30:G30" si="10" xml:space="preserve"> D27-D28-D29</f>
        <v>2863.5999999999922</v>
      </c>
      <c r="E30" s="7">
        <f t="shared" si="10"/>
        <v>1628.6999999999998</v>
      </c>
      <c r="F30" s="7">
        <f t="shared" si="10"/>
        <v>2643.2999999999984</v>
      </c>
      <c r="G30" s="7">
        <f t="shared" si="10"/>
        <v>5630.0800000000063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43</v>
      </c>
      <c r="D34" s="4">
        <v>48</v>
      </c>
      <c r="E34" s="4">
        <v>46</v>
      </c>
      <c r="F34" s="4">
        <v>51</v>
      </c>
      <c r="G34" s="4">
        <v>63</v>
      </c>
    </row>
    <row r="35" spans="2:7" ht="18.75" x14ac:dyDescent="0.25">
      <c r="B35" s="8" t="s">
        <v>118</v>
      </c>
      <c r="C35" s="4">
        <f>C27/C34</f>
        <v>88.048837209302391</v>
      </c>
      <c r="D35" s="4">
        <f t="shared" ref="D35:G35" si="11">D27/D34</f>
        <v>90.714583333333167</v>
      </c>
      <c r="E35" s="4">
        <f t="shared" si="11"/>
        <v>89.573913043478257</v>
      </c>
      <c r="F35" s="4">
        <f t="shared" si="11"/>
        <v>86.323529411764667</v>
      </c>
      <c r="G35" s="4">
        <f t="shared" si="11"/>
        <v>89.366349206349312</v>
      </c>
    </row>
  </sheetData>
  <mergeCells count="1">
    <mergeCell ref="B3:G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1041F-147B-4B09-B059-72E224994875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3" width="11.5703125" bestFit="1" customWidth="1"/>
    <col min="4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193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0</v>
      </c>
      <c r="D6" s="16">
        <f>'Income Statement'!D11</f>
        <v>0</v>
      </c>
      <c r="E6" s="16">
        <f>'Income Statement'!E11</f>
        <v>0</v>
      </c>
      <c r="F6" s="16">
        <f>'Income Statement'!F11</f>
        <v>0</v>
      </c>
      <c r="G6" s="16">
        <f>'Income Statement'!G11</f>
        <v>0</v>
      </c>
    </row>
    <row r="7" spans="2:7" ht="18.75" x14ac:dyDescent="0.25">
      <c r="B7" s="15" t="str">
        <f>'Balance Sheet'!B19</f>
        <v>Total Current Liabilities</v>
      </c>
      <c r="C7" s="16">
        <f>'Balance Sheet'!C19</f>
        <v>8123.2000000000007</v>
      </c>
      <c r="D7" s="16">
        <f>'Balance Sheet'!D19</f>
        <v>10048.6</v>
      </c>
      <c r="E7" s="16">
        <f>'Balance Sheet'!E19</f>
        <v>11453</v>
      </c>
      <c r="F7" s="16">
        <f>'Balance Sheet'!F19</f>
        <v>11465.2</v>
      </c>
      <c r="G7" s="16">
        <f>'Balance Sheet'!G19</f>
        <v>15452.7</v>
      </c>
    </row>
    <row r="8" spans="2:7" ht="18.75" x14ac:dyDescent="0.25">
      <c r="B8" s="17" t="s">
        <v>194</v>
      </c>
      <c r="C8" s="17" t="e">
        <f>ROUND(365/C6*C7, 2)</f>
        <v>#DIV/0!</v>
      </c>
      <c r="D8" s="17" t="e">
        <f t="shared" ref="D8:G8" si="0">ROUND(365/D6*D7, 2)</f>
        <v>#DIV/0!</v>
      </c>
      <c r="E8" s="17" t="e">
        <f t="shared" si="0"/>
        <v>#DIV/0!</v>
      </c>
      <c r="F8" s="17" t="e">
        <f t="shared" si="0"/>
        <v>#DIV/0!</v>
      </c>
      <c r="G8" s="17" t="e">
        <f t="shared" si="0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AB71A-418E-4783-8CC0-11931B9BD1BE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30772.9</v>
      </c>
      <c r="D6" s="16">
        <f>'Income Statement'!D5</f>
        <v>34742.1</v>
      </c>
      <c r="E6" s="16">
        <f>'Income Statement'!E5</f>
        <v>36867.699999999997</v>
      </c>
      <c r="F6" s="16">
        <f>'Income Statement'!F5</f>
        <v>37855.1</v>
      </c>
      <c r="G6" s="16">
        <f>'Income Statement'!G5</f>
        <v>44645.98</v>
      </c>
    </row>
    <row r="7" spans="2:7" ht="18.75" x14ac:dyDescent="0.25">
      <c r="B7" s="15" t="str">
        <f>'Balance Sheet'!B37</f>
        <v>Trade Receivables</v>
      </c>
      <c r="C7" s="16">
        <f>'Balance Sheet'!C37</f>
        <v>6497.9</v>
      </c>
      <c r="D7" s="16">
        <f>'Balance Sheet'!D37</f>
        <v>6958.6</v>
      </c>
      <c r="E7" s="16">
        <f>'Balance Sheet'!E37</f>
        <v>7577.2</v>
      </c>
      <c r="F7" s="16">
        <f>'Balance Sheet'!F37</f>
        <v>6472.8</v>
      </c>
      <c r="G7" s="16">
        <f>'Balance Sheet'!G37</f>
        <v>11933.4</v>
      </c>
    </row>
    <row r="8" spans="2:7" ht="18.75" x14ac:dyDescent="0.25">
      <c r="B8" s="17" t="s">
        <v>196</v>
      </c>
      <c r="C8" s="17">
        <f>ROUND(365/C6*C7, 2)</f>
        <v>77.069999999999993</v>
      </c>
      <c r="D8" s="17">
        <f t="shared" ref="D8:G8" si="0">ROUND(365/D6*D7, 2)</f>
        <v>73.11</v>
      </c>
      <c r="E8" s="17">
        <f t="shared" si="0"/>
        <v>75.02</v>
      </c>
      <c r="F8" s="17">
        <f t="shared" si="0"/>
        <v>62.41</v>
      </c>
      <c r="G8" s="17">
        <f t="shared" si="0"/>
        <v>97.56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12A2E-660F-4112-83D9-1AFD129BC3CC}">
  <dimension ref="B3:G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30772.9</v>
      </c>
      <c r="D6" s="16">
        <f>'Income Statement'!D5</f>
        <v>34742.1</v>
      </c>
      <c r="E6" s="16">
        <f>'Income Statement'!E5</f>
        <v>36867.699999999997</v>
      </c>
      <c r="F6" s="16">
        <f>'Income Statement'!F5</f>
        <v>37855.1</v>
      </c>
      <c r="G6" s="16">
        <f>'Income Statement'!G5</f>
        <v>44645.98</v>
      </c>
    </row>
    <row r="7" spans="2:7" ht="18.75" x14ac:dyDescent="0.25">
      <c r="B7" s="15" t="str">
        <f>'Balance Sheet'!B36</f>
        <v>Inventories</v>
      </c>
      <c r="C7" s="16">
        <f>'Balance Sheet'!C36</f>
        <v>65.900000000000006</v>
      </c>
      <c r="D7" s="16">
        <f>'Balance Sheet'!D36</f>
        <v>75.2</v>
      </c>
      <c r="E7" s="16">
        <f>'Balance Sheet'!E36</f>
        <v>35.799999999999997</v>
      </c>
      <c r="F7" s="16">
        <f>'Balance Sheet'!F36</f>
        <v>24.2</v>
      </c>
      <c r="G7" s="16">
        <f>'Balance Sheet'!G36</f>
        <v>40.5</v>
      </c>
    </row>
    <row r="8" spans="2:7" ht="18.75" x14ac:dyDescent="0.25">
      <c r="B8" s="15" t="s">
        <v>192</v>
      </c>
      <c r="C8" s="16">
        <f>ROUND(365/C6*C7, 2)</f>
        <v>0.78</v>
      </c>
      <c r="D8" s="16">
        <f t="shared" ref="D8:G8" si="0">ROUND(365/D6*D7, 2)</f>
        <v>0.79</v>
      </c>
      <c r="E8" s="16">
        <f t="shared" si="0"/>
        <v>0.35</v>
      </c>
      <c r="F8" s="16">
        <f t="shared" si="0"/>
        <v>0.23</v>
      </c>
      <c r="G8" s="16">
        <f t="shared" si="0"/>
        <v>0.33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0</v>
      </c>
      <c r="D9" s="16">
        <f>'Income Statement'!D11</f>
        <v>0</v>
      </c>
      <c r="E9" s="16">
        <f>'Income Statement'!E11</f>
        <v>0</v>
      </c>
      <c r="F9" s="16">
        <f>'Income Statement'!F11</f>
        <v>0</v>
      </c>
      <c r="G9" s="16">
        <f>'Income Statement'!G11</f>
        <v>0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8123.2000000000007</v>
      </c>
      <c r="D10" s="16">
        <f>'Balance Sheet'!D19</f>
        <v>10048.6</v>
      </c>
      <c r="E10" s="16">
        <f>'Balance Sheet'!E19</f>
        <v>11453</v>
      </c>
      <c r="F10" s="16">
        <f>'Balance Sheet'!F19</f>
        <v>11465.2</v>
      </c>
      <c r="G10" s="16">
        <f>'Balance Sheet'!G19</f>
        <v>15452.7</v>
      </c>
    </row>
    <row r="11" spans="2:7" ht="18.75" x14ac:dyDescent="0.25">
      <c r="B11" s="15" t="s">
        <v>194</v>
      </c>
      <c r="C11" s="16" t="e">
        <f>ROUND(365/C9*C10, 2)</f>
        <v>#DIV/0!</v>
      </c>
      <c r="D11" s="16" t="e">
        <f t="shared" ref="D11:G11" si="1">ROUND(365/D9*D10, 2)</f>
        <v>#DIV/0!</v>
      </c>
      <c r="E11" s="16" t="e">
        <f t="shared" si="1"/>
        <v>#DIV/0!</v>
      </c>
      <c r="F11" s="16" t="e">
        <f t="shared" si="1"/>
        <v>#DIV/0!</v>
      </c>
      <c r="G11" s="16" t="e">
        <f t="shared" si="1"/>
        <v>#DIV/0!</v>
      </c>
    </row>
    <row r="12" spans="2:7" ht="18.75" x14ac:dyDescent="0.25">
      <c r="B12" s="17" t="s">
        <v>198</v>
      </c>
      <c r="C12" s="28" t="e">
        <f>ROUND(C11+C8, 2)</f>
        <v>#DIV/0!</v>
      </c>
      <c r="D12" s="28" t="e">
        <f t="shared" ref="D12:G12" si="2">ROUND(D11+D8, 2)</f>
        <v>#DIV/0!</v>
      </c>
      <c r="E12" s="28" t="e">
        <f t="shared" si="2"/>
        <v>#DIV/0!</v>
      </c>
      <c r="F12" s="28" t="e">
        <f t="shared" si="2"/>
        <v>#DIV/0!</v>
      </c>
      <c r="G12" s="28" t="e">
        <f t="shared" si="2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3B949-109F-4A73-8464-ED1AD7E60FCE}">
  <dimension ref="B3:G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199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30772.9</v>
      </c>
      <c r="D6" s="16">
        <f>'Income Statement'!D5</f>
        <v>34742.1</v>
      </c>
      <c r="E6" s="16">
        <f>'Income Statement'!E5</f>
        <v>36867.699999999997</v>
      </c>
      <c r="F6" s="16">
        <f>'Income Statement'!F5</f>
        <v>37855.1</v>
      </c>
      <c r="G6" s="16">
        <f>'Income Statement'!G5</f>
        <v>44645.98</v>
      </c>
    </row>
    <row r="7" spans="2:7" ht="18.75" x14ac:dyDescent="0.25">
      <c r="B7" s="15" t="str">
        <f>'Balance Sheet'!B36</f>
        <v>Inventories</v>
      </c>
      <c r="C7" s="16">
        <f>'Balance Sheet'!C36</f>
        <v>65.900000000000006</v>
      </c>
      <c r="D7" s="16">
        <f>'Balance Sheet'!D36</f>
        <v>75.2</v>
      </c>
      <c r="E7" s="16">
        <f>'Balance Sheet'!E36</f>
        <v>35.799999999999997</v>
      </c>
      <c r="F7" s="16">
        <f>'Balance Sheet'!F36</f>
        <v>24.2</v>
      </c>
      <c r="G7" s="16">
        <f>'Balance Sheet'!G36</f>
        <v>40.5</v>
      </c>
    </row>
    <row r="8" spans="2:7" ht="18.75" x14ac:dyDescent="0.25">
      <c r="B8" s="15" t="s">
        <v>192</v>
      </c>
      <c r="C8" s="16">
        <f>ROUND(365/C6*C7, 2)</f>
        <v>0.78</v>
      </c>
      <c r="D8" s="16">
        <f t="shared" ref="D8:G8" si="0">ROUND(365/D6*D7, 2)</f>
        <v>0.79</v>
      </c>
      <c r="E8" s="16">
        <f t="shared" si="0"/>
        <v>0.35</v>
      </c>
      <c r="F8" s="16">
        <f t="shared" si="0"/>
        <v>0.23</v>
      </c>
      <c r="G8" s="16">
        <f t="shared" si="0"/>
        <v>0.33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0</v>
      </c>
      <c r="D9" s="16">
        <f>'Income Statement'!D11</f>
        <v>0</v>
      </c>
      <c r="E9" s="16">
        <f>'Income Statement'!E11</f>
        <v>0</v>
      </c>
      <c r="F9" s="16">
        <f>'Income Statement'!F11</f>
        <v>0</v>
      </c>
      <c r="G9" s="16">
        <f>'Income Statement'!G11</f>
        <v>0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8123.2000000000007</v>
      </c>
      <c r="D10" s="16">
        <f>'Balance Sheet'!D19</f>
        <v>10048.6</v>
      </c>
      <c r="E10" s="16">
        <f>'Balance Sheet'!E19</f>
        <v>11453</v>
      </c>
      <c r="F10" s="16">
        <f>'Balance Sheet'!F19</f>
        <v>11465.2</v>
      </c>
      <c r="G10" s="16">
        <f>'Balance Sheet'!G19</f>
        <v>15452.7</v>
      </c>
    </row>
    <row r="11" spans="2:7" ht="18.75" x14ac:dyDescent="0.25">
      <c r="B11" s="15" t="s">
        <v>194</v>
      </c>
      <c r="C11" s="16" t="e">
        <f>ROUND(365/C9*C10, 2)</f>
        <v>#DIV/0!</v>
      </c>
      <c r="D11" s="16" t="e">
        <f t="shared" ref="D11:G11" si="1">ROUND(365/D9*D10, 2)</f>
        <v>#DIV/0!</v>
      </c>
      <c r="E11" s="16" t="e">
        <f t="shared" si="1"/>
        <v>#DIV/0!</v>
      </c>
      <c r="F11" s="16" t="e">
        <f t="shared" si="1"/>
        <v>#DIV/0!</v>
      </c>
      <c r="G11" s="16" t="e">
        <f t="shared" si="1"/>
        <v>#DIV/0!</v>
      </c>
    </row>
    <row r="12" spans="2:7" ht="18.75" x14ac:dyDescent="0.25">
      <c r="B12" s="15" t="s">
        <v>200</v>
      </c>
      <c r="C12" s="16" t="e">
        <f>ROUND(C11+C8, 2)</f>
        <v>#DIV/0!</v>
      </c>
      <c r="D12" s="16" t="e">
        <f t="shared" ref="D12:G12" si="2">ROUND(D11+D8, 2)</f>
        <v>#DIV/0!</v>
      </c>
      <c r="E12" s="16" t="e">
        <f t="shared" si="2"/>
        <v>#DIV/0!</v>
      </c>
      <c r="F12" s="16" t="e">
        <f t="shared" si="2"/>
        <v>#DIV/0!</v>
      </c>
      <c r="G12" s="16" t="e">
        <f t="shared" si="2"/>
        <v>#DIV/0!</v>
      </c>
    </row>
    <row r="13" spans="2:7" ht="18.75" x14ac:dyDescent="0.25">
      <c r="B13" s="15" t="str">
        <f>'Income Statement'!B11</f>
        <v>Cost Of Materials Consumed</v>
      </c>
      <c r="C13" s="16">
        <f>'Income Statement'!C11</f>
        <v>0</v>
      </c>
      <c r="D13" s="16">
        <f>'Income Statement'!D11</f>
        <v>0</v>
      </c>
      <c r="E13" s="16">
        <f>'Income Statement'!E11</f>
        <v>0</v>
      </c>
      <c r="F13" s="16">
        <f>'Income Statement'!F11</f>
        <v>0</v>
      </c>
      <c r="G13" s="16">
        <f>'Income Statement'!G11</f>
        <v>0</v>
      </c>
    </row>
    <row r="14" spans="2:7" ht="18.75" x14ac:dyDescent="0.25">
      <c r="B14" s="15" t="str">
        <f>'Balance Sheet'!B19</f>
        <v>Total Current Liabilities</v>
      </c>
      <c r="C14" s="16">
        <f>'Balance Sheet'!C19</f>
        <v>8123.2000000000007</v>
      </c>
      <c r="D14" s="16">
        <f>'Balance Sheet'!D19</f>
        <v>10048.6</v>
      </c>
      <c r="E14" s="16">
        <f>'Balance Sheet'!E19</f>
        <v>11453</v>
      </c>
      <c r="F14" s="16">
        <f>'Balance Sheet'!F19</f>
        <v>11465.2</v>
      </c>
      <c r="G14" s="16">
        <f>'Balance Sheet'!G19</f>
        <v>15452.7</v>
      </c>
    </row>
    <row r="15" spans="2:7" ht="18.75" x14ac:dyDescent="0.25">
      <c r="B15" s="15" t="s">
        <v>194</v>
      </c>
      <c r="C15" s="16" t="e">
        <f>ROUND(365/C13*C14, 2)</f>
        <v>#DIV/0!</v>
      </c>
      <c r="D15" s="16" t="e">
        <f t="shared" ref="D15:G15" si="3">ROUND(365/D13*D14, 2)</f>
        <v>#DIV/0!</v>
      </c>
      <c r="E15" s="16" t="e">
        <f t="shared" si="3"/>
        <v>#DIV/0!</v>
      </c>
      <c r="F15" s="16" t="e">
        <f t="shared" si="3"/>
        <v>#DIV/0!</v>
      </c>
      <c r="G15" s="16" t="e">
        <f t="shared" si="3"/>
        <v>#DIV/0!</v>
      </c>
    </row>
    <row r="16" spans="2:7" ht="18.75" x14ac:dyDescent="0.25">
      <c r="B16" s="17" t="s">
        <v>201</v>
      </c>
      <c r="C16" s="28" t="e">
        <f>ROUND(C15-C12, 2)</f>
        <v>#DIV/0!</v>
      </c>
      <c r="D16" s="28" t="e">
        <f t="shared" ref="D16:G16" si="4">ROUND(D15-D12, 2)</f>
        <v>#DIV/0!</v>
      </c>
      <c r="E16" s="28" t="e">
        <f t="shared" si="4"/>
        <v>#DIV/0!</v>
      </c>
      <c r="F16" s="28" t="e">
        <f t="shared" si="4"/>
        <v>#DIV/0!</v>
      </c>
      <c r="G16" s="28" t="e">
        <f t="shared" si="4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46B00-7B68-4A7D-9469-3AAFAE6405BE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Sheet'!B9</f>
        <v>Net Worth</v>
      </c>
      <c r="C5" s="16">
        <f>'Balance Sheet'!C9</f>
        <v>18840.400000000001</v>
      </c>
      <c r="D5" s="16">
        <f>'Balance Sheet'!D9</f>
        <v>21705.999999999993</v>
      </c>
      <c r="E5" s="16">
        <f>'Balance Sheet'!E9</f>
        <v>23326.799999999992</v>
      </c>
      <c r="F5" s="16">
        <f>'Balance Sheet'!F9</f>
        <v>25971.299999999992</v>
      </c>
      <c r="G5" s="16">
        <f>'Balance Sheet'!G9</f>
        <v>31603.19</v>
      </c>
    </row>
    <row r="6" spans="2:7" ht="18.75" x14ac:dyDescent="0.25">
      <c r="B6" s="15" t="str">
        <f>'Balance Sheet'!B21</f>
        <v>Total Liabilities</v>
      </c>
      <c r="C6" s="16">
        <f>'Balance Sheet'!C21</f>
        <v>29204.5</v>
      </c>
      <c r="D6" s="16">
        <f>'Balance Sheet'!D21</f>
        <v>33638.099999999991</v>
      </c>
      <c r="E6" s="16">
        <f>'Balance Sheet'!E21</f>
        <v>37636.899999999994</v>
      </c>
      <c r="F6" s="16">
        <f>'Balance Sheet'!F21</f>
        <v>39553.899999999994</v>
      </c>
      <c r="G6" s="16">
        <f>'Balance Sheet'!G21</f>
        <v>49588.23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43814-24A9-40D6-9B1A-AA9E7C5F5FAE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Statement'!B17</f>
        <v>PBDIT</v>
      </c>
      <c r="C5" s="16">
        <f>'Income Statement'!C17</f>
        <v>6126.1000000000022</v>
      </c>
      <c r="D5" s="16">
        <f>'Income Statement'!D17</f>
        <v>6871.0999999999913</v>
      </c>
      <c r="E5" s="16">
        <f>'Income Statement'!E17</f>
        <v>6918.5</v>
      </c>
      <c r="F5" s="16">
        <f>'Income Statement'!F17</f>
        <v>7634.0999999999985</v>
      </c>
      <c r="G5" s="16">
        <f>'Income Statement'!G17</f>
        <v>9132.2800000000061</v>
      </c>
    </row>
    <row r="6" spans="2:7" ht="18.75" x14ac:dyDescent="0.25">
      <c r="B6" s="15" t="str">
        <f>'Income Statement'!B19</f>
        <v>PBIT</v>
      </c>
      <c r="C6" s="16">
        <f>'Income Statement'!C19</f>
        <v>5041.1000000000022</v>
      </c>
      <c r="D6" s="16">
        <f>'Income Statement'!D19</f>
        <v>5741.8999999999915</v>
      </c>
      <c r="E6" s="16">
        <f>'Income Statement'!E19</f>
        <v>5472.7</v>
      </c>
      <c r="F6" s="16">
        <f>'Income Statement'!F19</f>
        <v>6176.3999999999987</v>
      </c>
      <c r="G6" s="16">
        <f>'Income Statement'!G19</f>
        <v>7611.8800000000065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202EF-CA63-48E4-A6F2-20F3490D3BCF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Sheet'!B39</f>
        <v>Total Current Assets</v>
      </c>
      <c r="C5" s="16">
        <f>'Balance Sheet'!C39</f>
        <v>17884.2</v>
      </c>
      <c r="D5" s="16">
        <f>'Balance Sheet'!D39</f>
        <v>22904.199999999997</v>
      </c>
      <c r="E5" s="16">
        <f>'Balance Sheet'!E39</f>
        <v>28829.19999999999</v>
      </c>
      <c r="F5" s="16">
        <f>'Balance Sheet'!F39</f>
        <v>28220.399999999994</v>
      </c>
      <c r="G5" s="16">
        <f>'Balance Sheet'!G39</f>
        <v>43671.88</v>
      </c>
    </row>
    <row r="6" spans="2:7" ht="18.75" x14ac:dyDescent="0.25">
      <c r="B6" s="15" t="str">
        <f>'Balance Sheet'!B19</f>
        <v>Total Current Liabilities</v>
      </c>
      <c r="C6" s="16">
        <f>'Balance Sheet'!C19</f>
        <v>8123.2000000000007</v>
      </c>
      <c r="D6" s="16">
        <f>'Balance Sheet'!D19</f>
        <v>10048.6</v>
      </c>
      <c r="E6" s="16">
        <f>'Balance Sheet'!E19</f>
        <v>11453</v>
      </c>
      <c r="F6" s="16">
        <f>'Balance Sheet'!F19</f>
        <v>11465.2</v>
      </c>
      <c r="G6" s="16">
        <f>'Balance Sheet'!G19</f>
        <v>15452.7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C5349-F982-4CB0-B7CB-FF9016A32B74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10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Sheet'!B14</f>
        <v>Long Term Provisions</v>
      </c>
      <c r="C5" s="16">
        <f>'Balance Sheet'!C14</f>
        <v>555.1</v>
      </c>
      <c r="D5" s="16">
        <f>'Balance Sheet'!D14</f>
        <v>580.1</v>
      </c>
      <c r="E5" s="16">
        <f>'Balance Sheet'!E14</f>
        <v>669.1</v>
      </c>
      <c r="F5" s="16">
        <f>'Balance Sheet'!F14</f>
        <v>781</v>
      </c>
      <c r="G5" s="16">
        <f>'Balance Sheet'!G14</f>
        <v>881.1</v>
      </c>
    </row>
    <row r="6" spans="2:7" ht="18.75" x14ac:dyDescent="0.25">
      <c r="B6" s="15" t="str">
        <f>'Balance Sheet'!B15</f>
        <v>Short Term Provisions</v>
      </c>
      <c r="C6" s="16">
        <f>'Balance Sheet'!C15</f>
        <v>403</v>
      </c>
      <c r="D6" s="16">
        <f>'Balance Sheet'!D15</f>
        <v>395.2</v>
      </c>
      <c r="E6" s="16">
        <f>'Balance Sheet'!E15</f>
        <v>436.4</v>
      </c>
      <c r="F6" s="16">
        <f>'Balance Sheet'!F15</f>
        <v>531.1</v>
      </c>
      <c r="G6" s="16">
        <f>'Balance Sheet'!G15</f>
        <v>671.6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D79A4-B009-474D-B318-02CE64B52947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6" width="11.85546875" bestFit="1" customWidth="1"/>
    <col min="7" max="7" width="8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Statement'!B11</f>
        <v>Cost Of Materials Consumed</v>
      </c>
      <c r="C5" s="16">
        <f>'Income Statement'!C11</f>
        <v>0</v>
      </c>
      <c r="D5" s="16">
        <f>'Income Statement'!D11</f>
        <v>0</v>
      </c>
      <c r="E5" s="16">
        <f>'Income Statement'!E11</f>
        <v>0</v>
      </c>
      <c r="F5" s="16">
        <f>'Income Statement'!F11</f>
        <v>0</v>
      </c>
      <c r="G5" s="16">
        <f>'Income Statement'!G11</f>
        <v>0</v>
      </c>
    </row>
    <row r="6" spans="2:7" ht="18.75" x14ac:dyDescent="0.25">
      <c r="B6" s="15" t="str">
        <f>'Income Statement'!B12</f>
        <v>Operating And Direct Expenses</v>
      </c>
      <c r="C6" s="16">
        <f>'Income Statement'!C12</f>
        <v>3888</v>
      </c>
      <c r="D6" s="16">
        <f>'Income Statement'!D12</f>
        <v>4349.7</v>
      </c>
      <c r="E6" s="16">
        <f>'Income Statement'!E12</f>
        <v>5440.8</v>
      </c>
      <c r="F6" s="16">
        <f>'Income Statement'!F12</f>
        <v>4974.3</v>
      </c>
      <c r="G6" s="16">
        <f>'Income Statement'!G12</f>
        <v>0</v>
      </c>
    </row>
  </sheetData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5944B-C819-4BBF-9404-3854451206FD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Statement'!B5</f>
        <v>Gross Sales</v>
      </c>
      <c r="C5" s="16">
        <f>'Income Statement'!C5</f>
        <v>30772.9</v>
      </c>
      <c r="D5" s="16">
        <f>'Income Statement'!D5</f>
        <v>34742.1</v>
      </c>
      <c r="E5" s="16">
        <f>'Income Statement'!E5</f>
        <v>36867.699999999997</v>
      </c>
      <c r="F5" s="16">
        <f>'Income Statement'!F5</f>
        <v>37855.1</v>
      </c>
      <c r="G5" s="16">
        <f>'Income Statement'!G5</f>
        <v>44645.98</v>
      </c>
    </row>
    <row r="6" spans="2:7" ht="18.75" x14ac:dyDescent="0.25">
      <c r="B6" s="15" t="str">
        <f>'Income Statement'!B10</f>
        <v>Total Income</v>
      </c>
      <c r="C6" s="16">
        <f>'Income Statement'!C10</f>
        <v>32189.4</v>
      </c>
      <c r="D6" s="16">
        <f>'Income Statement'!D10</f>
        <v>35276.299999999996</v>
      </c>
      <c r="E6" s="16">
        <f>'Income Statement'!E10</f>
        <v>38060.1</v>
      </c>
      <c r="F6" s="16">
        <f>'Income Statement'!F10</f>
        <v>38642.199999999997</v>
      </c>
      <c r="G6" s="16">
        <f>'Income Statement'!G10</f>
        <v>45758.280000000006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278FB-778B-49B3-A998-9263E76A0D14}">
  <dimension ref="B3:G40"/>
  <sheetViews>
    <sheetView showGridLines="0" topLeftCell="A30" workbookViewId="0">
      <selection activeCell="D38" sqref="D38:G38"/>
    </sheetView>
  </sheetViews>
  <sheetFormatPr defaultRowHeight="15" x14ac:dyDescent="0.25"/>
  <cols>
    <col min="2" max="2" width="46" bestFit="1" customWidth="1"/>
    <col min="3" max="7" width="15.42578125" bestFit="1" customWidth="1"/>
  </cols>
  <sheetData>
    <row r="3" spans="2:7" ht="18.75" x14ac:dyDescent="0.25">
      <c r="B3" s="10" t="s">
        <v>128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5</v>
      </c>
      <c r="C5" s="4">
        <v>441.7</v>
      </c>
      <c r="D5" s="4">
        <v>443.7</v>
      </c>
      <c r="E5" s="4">
        <v>435.8</v>
      </c>
      <c r="F5" s="4">
        <v>437</v>
      </c>
      <c r="G5" s="4">
        <v>438.81</v>
      </c>
    </row>
    <row r="6" spans="2:7" ht="18.75" x14ac:dyDescent="0.25">
      <c r="B6" s="8" t="s">
        <v>121</v>
      </c>
      <c r="C6" s="4"/>
      <c r="D6" s="4"/>
      <c r="E6" s="4"/>
      <c r="F6" s="4"/>
      <c r="G6" s="4"/>
    </row>
    <row r="7" spans="2:7" ht="18.75" x14ac:dyDescent="0.25">
      <c r="B7" s="9" t="s">
        <v>6</v>
      </c>
      <c r="C7" s="6">
        <f>C5+C6</f>
        <v>441.7</v>
      </c>
      <c r="D7" s="6">
        <f t="shared" ref="D7:G7" si="0">D5+D6</f>
        <v>443.7</v>
      </c>
      <c r="E7" s="6">
        <f t="shared" si="0"/>
        <v>435.8</v>
      </c>
      <c r="F7" s="6">
        <f t="shared" si="0"/>
        <v>437</v>
      </c>
      <c r="G7" s="6">
        <f t="shared" si="0"/>
        <v>438.81</v>
      </c>
    </row>
    <row r="8" spans="2:7" ht="18.75" x14ac:dyDescent="0.25">
      <c r="B8" s="8" t="s">
        <v>7</v>
      </c>
      <c r="C8" s="5">
        <v>18398.7</v>
      </c>
      <c r="D8" s="5">
        <f>'Income Statement'!D30+C8</f>
        <v>21262.299999999992</v>
      </c>
      <c r="E8" s="5">
        <f>'Income Statement'!E30+D8</f>
        <v>22890.999999999993</v>
      </c>
      <c r="F8" s="5">
        <f>'Income Statement'!F30+E8</f>
        <v>25534.299999999992</v>
      </c>
      <c r="G8" s="5">
        <f>'Income Statement'!G30+F8</f>
        <v>31164.379999999997</v>
      </c>
    </row>
    <row r="9" spans="2:7" ht="18.75" x14ac:dyDescent="0.25">
      <c r="B9" s="9" t="s">
        <v>122</v>
      </c>
      <c r="C9" s="7">
        <f>C7+C8</f>
        <v>18840.400000000001</v>
      </c>
      <c r="D9" s="7">
        <f t="shared" ref="D9:G9" si="1">D7+D8</f>
        <v>21705.999999999993</v>
      </c>
      <c r="E9" s="7">
        <f t="shared" si="1"/>
        <v>23326.799999999992</v>
      </c>
      <c r="F9" s="7">
        <f t="shared" si="1"/>
        <v>25971.299999999992</v>
      </c>
      <c r="G9" s="7">
        <f t="shared" si="1"/>
        <v>31603.19</v>
      </c>
    </row>
    <row r="10" spans="2:7" ht="18.75" x14ac:dyDescent="0.25">
      <c r="B10" s="8" t="s">
        <v>12</v>
      </c>
      <c r="C10" s="4">
        <v>771.1</v>
      </c>
      <c r="D10" s="4">
        <v>208.6</v>
      </c>
      <c r="E10" s="4">
        <v>178.7</v>
      </c>
      <c r="F10" s="4">
        <v>165.8</v>
      </c>
      <c r="G10" s="4">
        <v>142</v>
      </c>
    </row>
    <row r="11" spans="2:7" ht="18.75" x14ac:dyDescent="0.25">
      <c r="B11" s="8" t="s">
        <v>13</v>
      </c>
      <c r="C11" s="4">
        <v>5.8</v>
      </c>
      <c r="D11" s="4">
        <v>1.1000000000000001</v>
      </c>
      <c r="E11" s="4">
        <v>35.6</v>
      </c>
      <c r="F11" s="4">
        <v>76.099999999999994</v>
      </c>
      <c r="G11" s="4">
        <v>455.2</v>
      </c>
    </row>
    <row r="12" spans="2:7" ht="18.75" x14ac:dyDescent="0.25">
      <c r="B12" s="8" t="s">
        <v>18</v>
      </c>
      <c r="C12" s="5">
        <v>954.9</v>
      </c>
      <c r="D12" s="5">
        <v>1196.0999999999999</v>
      </c>
      <c r="E12" s="5">
        <v>2249.5</v>
      </c>
      <c r="F12" s="5">
        <v>1496</v>
      </c>
      <c r="G12" s="4">
        <v>1439.74</v>
      </c>
    </row>
    <row r="13" spans="2:7" ht="18.75" x14ac:dyDescent="0.25">
      <c r="B13" s="9" t="s">
        <v>123</v>
      </c>
      <c r="C13" s="7">
        <f>C10+C11+C12</f>
        <v>1731.8</v>
      </c>
      <c r="D13" s="7">
        <f t="shared" ref="D13:G13" si="2">D10+D11+D12</f>
        <v>1405.8</v>
      </c>
      <c r="E13" s="7">
        <f t="shared" si="2"/>
        <v>2463.8000000000002</v>
      </c>
      <c r="F13" s="7">
        <f t="shared" si="2"/>
        <v>1737.9</v>
      </c>
      <c r="G13" s="7">
        <f t="shared" si="2"/>
        <v>2036.94</v>
      </c>
    </row>
    <row r="14" spans="2:7" ht="18.75" x14ac:dyDescent="0.25">
      <c r="B14" s="8" t="s">
        <v>15</v>
      </c>
      <c r="C14" s="4">
        <v>555.1</v>
      </c>
      <c r="D14" s="4">
        <v>580.1</v>
      </c>
      <c r="E14" s="4">
        <v>669.1</v>
      </c>
      <c r="F14" s="4">
        <v>781</v>
      </c>
      <c r="G14" s="4">
        <v>881.1</v>
      </c>
    </row>
    <row r="15" spans="2:7" ht="18.75" x14ac:dyDescent="0.25">
      <c r="B15" s="8" t="s">
        <v>21</v>
      </c>
      <c r="C15" s="4">
        <v>403</v>
      </c>
      <c r="D15" s="4">
        <v>395.2</v>
      </c>
      <c r="E15" s="4">
        <v>436.4</v>
      </c>
      <c r="F15" s="4">
        <v>531.1</v>
      </c>
      <c r="G15" s="4">
        <v>671.6</v>
      </c>
    </row>
    <row r="16" spans="2:7" ht="18.75" x14ac:dyDescent="0.25">
      <c r="B16" s="8" t="s">
        <v>14</v>
      </c>
      <c r="C16" s="5">
        <v>606.20000000000005</v>
      </c>
      <c r="D16" s="5">
        <v>333.4</v>
      </c>
      <c r="E16" s="5">
        <v>2107.6</v>
      </c>
      <c r="F16" s="4">
        <v>1902.7</v>
      </c>
      <c r="G16" s="4">
        <v>2276.1</v>
      </c>
    </row>
    <row r="17" spans="2:7" ht="18.75" x14ac:dyDescent="0.25">
      <c r="B17" s="8" t="s">
        <v>19</v>
      </c>
      <c r="C17" s="5">
        <v>2036.8</v>
      </c>
      <c r="D17" s="5">
        <v>2489.3000000000002</v>
      </c>
      <c r="E17" s="5">
        <v>3256.6</v>
      </c>
      <c r="F17" s="5">
        <v>2785</v>
      </c>
      <c r="G17" s="5">
        <v>4094.7</v>
      </c>
    </row>
    <row r="18" spans="2:7" ht="18.75" x14ac:dyDescent="0.25">
      <c r="B18" s="8" t="s">
        <v>20</v>
      </c>
      <c r="C18" s="5">
        <v>4522.1000000000004</v>
      </c>
      <c r="D18" s="5">
        <v>6250.6</v>
      </c>
      <c r="E18" s="5">
        <v>4983.3</v>
      </c>
      <c r="F18" s="5">
        <v>5465.4</v>
      </c>
      <c r="G18" s="5">
        <v>7529.2</v>
      </c>
    </row>
    <row r="19" spans="2:7" ht="18.75" x14ac:dyDescent="0.25">
      <c r="B19" s="9" t="s">
        <v>22</v>
      </c>
      <c r="C19" s="7">
        <f>C14+C15+C16+C17+C18</f>
        <v>8123.2000000000007</v>
      </c>
      <c r="D19" s="7">
        <f t="shared" ref="D19:G19" si="3">D14+D15+D16+D17+D18</f>
        <v>10048.6</v>
      </c>
      <c r="E19" s="7">
        <f t="shared" si="3"/>
        <v>11453</v>
      </c>
      <c r="F19" s="7">
        <f t="shared" si="3"/>
        <v>11465.2</v>
      </c>
      <c r="G19" s="7">
        <f t="shared" si="3"/>
        <v>15452.7</v>
      </c>
    </row>
    <row r="20" spans="2:7" ht="18.75" x14ac:dyDescent="0.25">
      <c r="B20" s="8" t="s">
        <v>10</v>
      </c>
      <c r="C20" s="4">
        <v>509.1</v>
      </c>
      <c r="D20" s="4">
        <v>477.7</v>
      </c>
      <c r="E20" s="4">
        <v>393.3</v>
      </c>
      <c r="F20" s="4">
        <v>379.5</v>
      </c>
      <c r="G20" s="4">
        <v>495.4</v>
      </c>
    </row>
    <row r="21" spans="2:7" ht="18.75" x14ac:dyDescent="0.25">
      <c r="B21" s="9" t="s">
        <v>124</v>
      </c>
      <c r="C21" s="7">
        <f>C9+C13+C19+C20</f>
        <v>29204.5</v>
      </c>
      <c r="D21" s="7">
        <f t="shared" ref="D21:G21" si="4">D9+D13+D19+D20</f>
        <v>33638.099999999991</v>
      </c>
      <c r="E21" s="7">
        <f t="shared" si="4"/>
        <v>37636.899999999994</v>
      </c>
      <c r="F21" s="7">
        <f t="shared" si="4"/>
        <v>39553.899999999994</v>
      </c>
      <c r="G21" s="7">
        <f t="shared" si="4"/>
        <v>49588.23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3171.6</v>
      </c>
      <c r="D23" s="5">
        <v>2793.7</v>
      </c>
      <c r="E23" s="5">
        <v>3978.3</v>
      </c>
      <c r="F23" s="5">
        <v>3559.5</v>
      </c>
      <c r="G23" s="5">
        <v>6585.7</v>
      </c>
    </row>
    <row r="24" spans="2:7" ht="18.75" x14ac:dyDescent="0.25">
      <c r="B24" s="8" t="s">
        <v>27</v>
      </c>
      <c r="C24" s="4">
        <v>1678.1</v>
      </c>
      <c r="D24" s="5">
        <v>1451.2</v>
      </c>
      <c r="E24" s="5">
        <v>1506</v>
      </c>
      <c r="F24" s="5">
        <v>1450.8</v>
      </c>
      <c r="G24" s="5">
        <v>0</v>
      </c>
    </row>
    <row r="25" spans="2:7" ht="18.75" x14ac:dyDescent="0.25">
      <c r="B25" s="8" t="s">
        <v>125</v>
      </c>
      <c r="C25" s="4"/>
      <c r="D25" s="5">
        <f>'Income Statement'!D18</f>
        <v>1129.2</v>
      </c>
      <c r="E25" s="5">
        <f>'Income Statement'!E18+D25</f>
        <v>2575</v>
      </c>
      <c r="F25" s="5">
        <f>'Income Statement'!F18+E25</f>
        <v>4032.7</v>
      </c>
      <c r="G25" s="5">
        <f>'Income Statement'!G18+F25</f>
        <v>5553.1</v>
      </c>
    </row>
    <row r="26" spans="2:7" ht="18.75" x14ac:dyDescent="0.25">
      <c r="B26" s="9" t="s">
        <v>126</v>
      </c>
      <c r="C26" s="7">
        <f>C23+C24-C25</f>
        <v>4849.7</v>
      </c>
      <c r="D26" s="7">
        <f t="shared" ref="D26:G26" si="5">D23+D24-D25</f>
        <v>3115.7</v>
      </c>
      <c r="E26" s="7">
        <f t="shared" si="5"/>
        <v>2909.3</v>
      </c>
      <c r="F26" s="7">
        <f t="shared" si="5"/>
        <v>977.60000000000036</v>
      </c>
      <c r="G26" s="7">
        <f t="shared" si="5"/>
        <v>1032.5999999999995</v>
      </c>
    </row>
    <row r="27" spans="2:7" ht="18.75" x14ac:dyDescent="0.25">
      <c r="B27" s="8" t="s">
        <v>30</v>
      </c>
      <c r="C27" s="4">
        <v>1245.8</v>
      </c>
      <c r="D27" s="4">
        <v>752</v>
      </c>
      <c r="E27" s="4">
        <v>236</v>
      </c>
      <c r="F27" s="4">
        <v>575.70000000000005</v>
      </c>
      <c r="G27" s="5">
        <v>447.85</v>
      </c>
    </row>
    <row r="28" spans="2:7" ht="18.75" x14ac:dyDescent="0.25">
      <c r="B28" s="8" t="s">
        <v>36</v>
      </c>
      <c r="C28" s="5">
        <v>3444.9</v>
      </c>
      <c r="D28" s="5">
        <v>6589.9</v>
      </c>
      <c r="E28" s="5">
        <v>5612.3</v>
      </c>
      <c r="F28" s="5">
        <v>9661.9</v>
      </c>
      <c r="G28" s="5">
        <v>4435.8999999999996</v>
      </c>
    </row>
    <row r="29" spans="2:7" ht="18.75" x14ac:dyDescent="0.25">
      <c r="B29" s="8" t="s">
        <v>28</v>
      </c>
      <c r="C29" s="4">
        <v>1779.9</v>
      </c>
      <c r="D29" s="4">
        <v>276.3</v>
      </c>
      <c r="E29" s="4">
        <v>50.1</v>
      </c>
      <c r="F29" s="4">
        <v>118.3</v>
      </c>
      <c r="G29" s="4">
        <v>0</v>
      </c>
    </row>
    <row r="30" spans="2:7" ht="18.75" x14ac:dyDescent="0.25">
      <c r="B30" s="9" t="s">
        <v>127</v>
      </c>
      <c r="C30" s="7">
        <f>C26+C27+C28+C29</f>
        <v>11320.3</v>
      </c>
      <c r="D30" s="7">
        <f t="shared" ref="D30:G30" si="6">D26+D27+D28+D29</f>
        <v>10733.899999999998</v>
      </c>
      <c r="E30" s="7">
        <f t="shared" si="6"/>
        <v>8807.7000000000007</v>
      </c>
      <c r="F30" s="7">
        <f t="shared" si="6"/>
        <v>11333.5</v>
      </c>
      <c r="G30" s="7">
        <f t="shared" si="6"/>
        <v>5916.3499999999985</v>
      </c>
    </row>
    <row r="31" spans="2:7" ht="18.75" x14ac:dyDescent="0.25">
      <c r="B31" s="8" t="s">
        <v>31</v>
      </c>
      <c r="C31" s="4">
        <v>576.6</v>
      </c>
      <c r="D31" s="4">
        <v>609.1</v>
      </c>
      <c r="E31" s="4">
        <v>844.3</v>
      </c>
      <c r="F31" s="4">
        <v>913.3</v>
      </c>
      <c r="G31" s="4">
        <v>819.1</v>
      </c>
    </row>
    <row r="32" spans="2:7" ht="18.75" x14ac:dyDescent="0.25">
      <c r="B32" s="8" t="s">
        <v>32</v>
      </c>
      <c r="C32" s="4">
        <v>5.2</v>
      </c>
      <c r="D32" s="4">
        <v>4.3</v>
      </c>
      <c r="E32" s="4">
        <v>4.5</v>
      </c>
      <c r="F32" s="4">
        <v>4.7</v>
      </c>
      <c r="G32" s="4">
        <v>13.6</v>
      </c>
    </row>
    <row r="33" spans="2:7" ht="18.75" x14ac:dyDescent="0.25">
      <c r="B33" s="8" t="s">
        <v>33</v>
      </c>
      <c r="C33" s="5">
        <v>2640.3</v>
      </c>
      <c r="D33" s="5">
        <v>3178.2</v>
      </c>
      <c r="E33" s="5">
        <v>4174.3</v>
      </c>
      <c r="F33" s="5">
        <v>3792.2</v>
      </c>
      <c r="G33" s="5">
        <v>5122.96</v>
      </c>
    </row>
    <row r="34" spans="2:7" ht="18.75" x14ac:dyDescent="0.25">
      <c r="B34" s="8" t="s">
        <v>40</v>
      </c>
      <c r="C34" s="4">
        <v>150</v>
      </c>
      <c r="D34" s="4">
        <v>0</v>
      </c>
      <c r="E34" s="4">
        <v>0</v>
      </c>
      <c r="F34" s="4">
        <v>0</v>
      </c>
      <c r="G34" s="4">
        <v>0</v>
      </c>
    </row>
    <row r="35" spans="2:7" ht="18.75" x14ac:dyDescent="0.25">
      <c r="B35" s="8" t="s">
        <v>41</v>
      </c>
      <c r="C35" s="5">
        <v>4904</v>
      </c>
      <c r="D35" s="5">
        <v>5583.4</v>
      </c>
      <c r="E35" s="5">
        <v>6798.7</v>
      </c>
      <c r="F35" s="5">
        <v>6261.2</v>
      </c>
      <c r="G35" s="5">
        <v>4071.4</v>
      </c>
    </row>
    <row r="36" spans="2:7" ht="18.75" x14ac:dyDescent="0.25">
      <c r="B36" s="8" t="s">
        <v>37</v>
      </c>
      <c r="C36" s="4">
        <v>65.900000000000006</v>
      </c>
      <c r="D36" s="4">
        <v>75.2</v>
      </c>
      <c r="E36" s="4">
        <v>35.799999999999997</v>
      </c>
      <c r="F36" s="4">
        <v>24.2</v>
      </c>
      <c r="G36" s="4">
        <v>40.5</v>
      </c>
    </row>
    <row r="37" spans="2:7" ht="18.75" x14ac:dyDescent="0.25">
      <c r="B37" s="8" t="s">
        <v>38</v>
      </c>
      <c r="C37" s="5">
        <v>6497.9</v>
      </c>
      <c r="D37" s="5">
        <v>6958.6</v>
      </c>
      <c r="E37" s="5">
        <v>7577.2</v>
      </c>
      <c r="F37" s="5">
        <v>6472.8</v>
      </c>
      <c r="G37" s="5">
        <v>11933.4</v>
      </c>
    </row>
    <row r="38" spans="2:7" ht="18.75" x14ac:dyDescent="0.25">
      <c r="B38" s="8" t="s">
        <v>39</v>
      </c>
      <c r="C38" s="5">
        <v>3044.3</v>
      </c>
      <c r="D38" s="5">
        <f>'CashFlow Statement'!D48+C38</f>
        <v>6495.3999999999924</v>
      </c>
      <c r="E38" s="5">
        <f>'CashFlow Statement'!E48+D38</f>
        <v>9394.3999999999905</v>
      </c>
      <c r="F38" s="5">
        <f>'CashFlow Statement'!F48+E38</f>
        <v>10751.999999999991</v>
      </c>
      <c r="G38" s="5">
        <f>'CashFlow Statement'!G48+F38</f>
        <v>21670.92</v>
      </c>
    </row>
    <row r="39" spans="2:7" ht="18.75" x14ac:dyDescent="0.25">
      <c r="B39" s="9" t="s">
        <v>42</v>
      </c>
      <c r="C39" s="7">
        <f>C31+C32+C33+C34+C35+C36+C37+C38</f>
        <v>17884.2</v>
      </c>
      <c r="D39" s="7">
        <f t="shared" ref="D39:G39" si="7">D31+D32+D33+D34+D35+D36+D37+D38</f>
        <v>22904.199999999997</v>
      </c>
      <c r="E39" s="7">
        <f t="shared" si="7"/>
        <v>28829.19999999999</v>
      </c>
      <c r="F39" s="7">
        <f t="shared" si="7"/>
        <v>28220.399999999994</v>
      </c>
      <c r="G39" s="7">
        <f t="shared" si="7"/>
        <v>43671.88</v>
      </c>
    </row>
    <row r="40" spans="2:7" ht="18.75" x14ac:dyDescent="0.25">
      <c r="B40" s="9" t="s">
        <v>43</v>
      </c>
      <c r="C40" s="7">
        <f>C30+C39</f>
        <v>29204.5</v>
      </c>
      <c r="D40" s="7">
        <f t="shared" ref="D40:G40" si="8">D30+D39</f>
        <v>33638.099999999991</v>
      </c>
      <c r="E40" s="7">
        <f t="shared" si="8"/>
        <v>37636.899999999994</v>
      </c>
      <c r="F40" s="7">
        <f t="shared" si="8"/>
        <v>39553.899999999994</v>
      </c>
      <c r="G40" s="7">
        <f t="shared" si="8"/>
        <v>49588.229999999996</v>
      </c>
    </row>
  </sheetData>
  <mergeCells count="1">
    <mergeCell ref="B3:G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08374-D959-4484-894F-79155816782A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29204.5</v>
      </c>
      <c r="D5" s="16">
        <f>'Balance Sheet'!D21</f>
        <v>33638.099999999991</v>
      </c>
      <c r="E5" s="16">
        <f>'Balance Sheet'!E21</f>
        <v>37636.899999999994</v>
      </c>
      <c r="F5" s="16">
        <f>'Balance Sheet'!F21</f>
        <v>39553.899999999994</v>
      </c>
      <c r="G5" s="16">
        <f>'Balance Sheet'!G21</f>
        <v>49588.23</v>
      </c>
    </row>
    <row r="6" spans="2:7" ht="18.75" x14ac:dyDescent="0.25">
      <c r="B6" s="15" t="str">
        <f>'Balance Sheet'!B13</f>
        <v>Total Debt</v>
      </c>
      <c r="C6" s="16">
        <f>'Balance Sheet'!C13</f>
        <v>1731.8</v>
      </c>
      <c r="D6" s="16">
        <f>'Balance Sheet'!D13</f>
        <v>1405.8</v>
      </c>
      <c r="E6" s="16">
        <f>'Balance Sheet'!E13</f>
        <v>2463.8000000000002</v>
      </c>
      <c r="F6" s="16">
        <f>'Balance Sheet'!F13</f>
        <v>1737.9</v>
      </c>
      <c r="G6" s="16">
        <f>'Balance Sheet'!G13</f>
        <v>2036.94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62B17-A197-4BC1-9CD2-B018AF66DF4F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29204.5</v>
      </c>
      <c r="D5" s="16">
        <f>'Balance Sheet'!D21</f>
        <v>33638.099999999991</v>
      </c>
      <c r="E5" s="16">
        <f>'Balance Sheet'!E21</f>
        <v>37636.899999999994</v>
      </c>
      <c r="F5" s="16">
        <f>'Balance Sheet'!F21</f>
        <v>39553.899999999994</v>
      </c>
      <c r="G5" s="16">
        <f>'Balance Sheet'!G21</f>
        <v>49588.23</v>
      </c>
    </row>
    <row r="6" spans="2:7" ht="18.75" x14ac:dyDescent="0.25">
      <c r="B6" s="15" t="str">
        <f>'Balance Sheet'!B19</f>
        <v>Total Current Liabilities</v>
      </c>
      <c r="C6" s="16">
        <f>'Balance Sheet'!C19</f>
        <v>8123.2000000000007</v>
      </c>
      <c r="D6" s="16">
        <f>'Balance Sheet'!D19</f>
        <v>10048.6</v>
      </c>
      <c r="E6" s="16">
        <f>'Balance Sheet'!E19</f>
        <v>11453</v>
      </c>
      <c r="F6" s="16">
        <f>'Balance Sheet'!F19</f>
        <v>11465.2</v>
      </c>
      <c r="G6" s="16">
        <f>'Balance Sheet'!G19</f>
        <v>15452.7</v>
      </c>
    </row>
  </sheetData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B2F39-C34B-4B18-8776-83403EC6D4F1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29204.5</v>
      </c>
      <c r="D5" s="16">
        <f>'Balance Sheet'!D40</f>
        <v>33638.099999999991</v>
      </c>
      <c r="E5" s="16">
        <f>'Balance Sheet'!E40</f>
        <v>37636.899999999994</v>
      </c>
      <c r="F5" s="16">
        <f>'Balance Sheet'!F40</f>
        <v>39553.899999999994</v>
      </c>
      <c r="G5" s="16">
        <f>'Balance Sheet'!G40</f>
        <v>49588.229999999996</v>
      </c>
    </row>
    <row r="6" spans="2:7" ht="18.75" x14ac:dyDescent="0.25">
      <c r="B6" s="15" t="str">
        <f>'Balance Sheet'!B30</f>
        <v>Total Non Current Assets</v>
      </c>
      <c r="C6" s="16">
        <f>'Balance Sheet'!C30</f>
        <v>11320.3</v>
      </c>
      <c r="D6" s="16">
        <f>'Balance Sheet'!D30</f>
        <v>10733.899999999998</v>
      </c>
      <c r="E6" s="16">
        <f>'Balance Sheet'!E30</f>
        <v>8807.7000000000007</v>
      </c>
      <c r="F6" s="16">
        <f>'Balance Sheet'!F30</f>
        <v>11333.5</v>
      </c>
      <c r="G6" s="16">
        <f>'Balance Sheet'!G30</f>
        <v>5916.3499999999985</v>
      </c>
    </row>
  </sheetData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D94CB-089B-4E44-B0E6-6F541FD38549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29204.5</v>
      </c>
      <c r="D5" s="16">
        <f>'Balance Sheet'!D40</f>
        <v>33638.099999999991</v>
      </c>
      <c r="E5" s="16">
        <f>'Balance Sheet'!E40</f>
        <v>37636.899999999994</v>
      </c>
      <c r="F5" s="16">
        <f>'Balance Sheet'!F40</f>
        <v>39553.899999999994</v>
      </c>
      <c r="G5" s="16">
        <f>'Balance Sheet'!G40</f>
        <v>49588.229999999996</v>
      </c>
    </row>
    <row r="6" spans="2:7" ht="18.75" x14ac:dyDescent="0.25">
      <c r="B6" s="15" t="str">
        <f>'Balance Sheet'!B39</f>
        <v>Total Current Assets</v>
      </c>
      <c r="C6" s="16">
        <f>'Balance Sheet'!C39</f>
        <v>17884.2</v>
      </c>
      <c r="D6" s="16">
        <f>'Balance Sheet'!D39</f>
        <v>22904.199999999997</v>
      </c>
      <c r="E6" s="16">
        <f>'Balance Sheet'!E39</f>
        <v>28829.19999999999</v>
      </c>
      <c r="F6" s="16">
        <f>'Balance Sheet'!F39</f>
        <v>28220.399999999994</v>
      </c>
      <c r="G6" s="16">
        <f>'Balance Sheet'!G39</f>
        <v>43671.88</v>
      </c>
    </row>
  </sheetData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2AE16-5B64-45F7-BA9F-7B0C65BE8B90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Statement'!B15</f>
        <v>Total Expenditure</v>
      </c>
      <c r="C5" s="16">
        <f>'Income Statement'!C15</f>
        <v>26063.3</v>
      </c>
      <c r="D5" s="16">
        <f>'Income Statement'!D15</f>
        <v>28405.200000000004</v>
      </c>
      <c r="E5" s="16">
        <f>'Income Statement'!E15</f>
        <v>31141.599999999999</v>
      </c>
      <c r="F5" s="16">
        <f>'Income Statement'!F15</f>
        <v>31008.1</v>
      </c>
      <c r="G5" s="16">
        <f>'Income Statement'!G15</f>
        <v>36626</v>
      </c>
    </row>
    <row r="6" spans="2:7" ht="18.75" x14ac:dyDescent="0.25">
      <c r="B6" s="15" t="str">
        <f>'Income Statement'!B10</f>
        <v>Total Income</v>
      </c>
      <c r="C6" s="16">
        <f>'Income Statement'!C10</f>
        <v>32189.4</v>
      </c>
      <c r="D6" s="16">
        <f>'Income Statement'!D10</f>
        <v>35276.299999999996</v>
      </c>
      <c r="E6" s="16">
        <f>'Income Statement'!E10</f>
        <v>38060.1</v>
      </c>
      <c r="F6" s="16">
        <f>'Income Statement'!F10</f>
        <v>38642.199999999997</v>
      </c>
      <c r="G6" s="16">
        <f>'Income Statement'!G10</f>
        <v>45758.280000000006</v>
      </c>
    </row>
  </sheetData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586D3-EBBB-48DF-B8CD-74720F109B6D}">
  <dimension ref="B4:G6"/>
  <sheetViews>
    <sheetView showGridLines="0" tabSelected="1" workbookViewId="0">
      <selection activeCell="B4" sqref="B4"/>
    </sheetView>
  </sheetViews>
  <sheetFormatPr defaultRowHeight="15" x14ac:dyDescent="0.25"/>
  <cols>
    <col min="2" max="2" width="42.570312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Statement'!B30</f>
        <v>Amount C\F to Balance Sheet</v>
      </c>
      <c r="C5" s="16">
        <f>'Income Statement'!C30</f>
        <v>2842.3000000000029</v>
      </c>
      <c r="D5" s="16">
        <f>'Income Statement'!D30</f>
        <v>2863.5999999999922</v>
      </c>
      <c r="E5" s="16">
        <f>'Income Statement'!E30</f>
        <v>1628.6999999999998</v>
      </c>
      <c r="F5" s="16">
        <f>'Income Statement'!F30</f>
        <v>2643.2999999999984</v>
      </c>
      <c r="G5" s="16">
        <f>'Income Statement'!G30</f>
        <v>5630.0800000000063</v>
      </c>
    </row>
    <row r="6" spans="2:7" ht="18.75" x14ac:dyDescent="0.25">
      <c r="B6" s="15" t="str">
        <f>'Income Statement'!B27</f>
        <v>Reported Net Profit(PAT)</v>
      </c>
      <c r="C6" s="16">
        <f>'Income Statement'!C27</f>
        <v>3786.1000000000026</v>
      </c>
      <c r="D6" s="16">
        <f>'Income Statement'!D27</f>
        <v>4354.299999999992</v>
      </c>
      <c r="E6" s="16">
        <f>'Income Statement'!E27</f>
        <v>4120.3999999999996</v>
      </c>
      <c r="F6" s="16">
        <f>'Income Statement'!F27</f>
        <v>4402.4999999999982</v>
      </c>
      <c r="G6" s="16">
        <f>'Income Statement'!G27</f>
        <v>5630.0800000000063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D9AED-F2D1-4BD6-982C-8D2EAE23ABC5}">
  <dimension ref="B3:G48"/>
  <sheetViews>
    <sheetView showGridLines="0" topLeftCell="A34" workbookViewId="0">
      <selection activeCell="D48" sqref="D48:G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6" width="14.85546875" bestFit="1" customWidth="1"/>
    <col min="7" max="7" width="15.42578125" bestFit="1" customWidth="1"/>
  </cols>
  <sheetData>
    <row r="3" spans="2:7" ht="18.75" x14ac:dyDescent="0.25">
      <c r="B3" s="10" t="s">
        <v>143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129</v>
      </c>
      <c r="C5" s="4"/>
      <c r="D5" s="5">
        <f>'Income Statement'!D25</f>
        <v>5608.6999999999916</v>
      </c>
      <c r="E5" s="5">
        <f>'Income Statement'!E25</f>
        <v>5280.8</v>
      </c>
      <c r="F5" s="5">
        <f>'Income Statement'!F25</f>
        <v>6002.3999999999987</v>
      </c>
      <c r="G5" s="5">
        <f>'Income Statement'!G25</f>
        <v>7452.0800000000063</v>
      </c>
    </row>
    <row r="6" spans="2:7" ht="18.75" x14ac:dyDescent="0.25">
      <c r="B6" s="8" t="s">
        <v>130</v>
      </c>
      <c r="C6" s="4"/>
      <c r="D6" s="4"/>
      <c r="E6" s="4"/>
      <c r="F6" s="4"/>
      <c r="G6" s="4"/>
    </row>
    <row r="7" spans="2:7" ht="18.75" x14ac:dyDescent="0.25">
      <c r="B7" s="8" t="s">
        <v>125</v>
      </c>
      <c r="C7" s="4"/>
      <c r="D7" s="5">
        <f>'Income Statement'!D18</f>
        <v>1129.2</v>
      </c>
      <c r="E7" s="5">
        <f>'Income Statement'!E18</f>
        <v>1445.8</v>
      </c>
      <c r="F7" s="5">
        <f>'Income Statement'!F18</f>
        <v>1457.7</v>
      </c>
      <c r="G7" s="5">
        <f>'Income Statement'!G18</f>
        <v>1520.4</v>
      </c>
    </row>
    <row r="8" spans="2:7" ht="18.75" x14ac:dyDescent="0.25">
      <c r="B8" s="8" t="s">
        <v>131</v>
      </c>
      <c r="C8" s="4"/>
      <c r="D8" s="4">
        <f>'Income Statement'!D20</f>
        <v>133.19999999999999</v>
      </c>
      <c r="E8" s="4">
        <f>'Income Statement'!E20</f>
        <v>191.9</v>
      </c>
      <c r="F8" s="4">
        <f>'Income Statement'!F20</f>
        <v>174</v>
      </c>
      <c r="G8" s="4">
        <f>'Income Statement'!G20</f>
        <v>162.6</v>
      </c>
    </row>
    <row r="9" spans="2:7" ht="18.75" x14ac:dyDescent="0.25">
      <c r="B9" s="8" t="s">
        <v>59</v>
      </c>
      <c r="C9" s="4"/>
      <c r="D9" s="4">
        <f>'Income Statement'!D8</f>
        <v>534.20000000000005</v>
      </c>
      <c r="E9" s="4">
        <f>'Income Statement'!E8</f>
        <v>1192.4000000000001</v>
      </c>
      <c r="F9" s="4">
        <f>'Income Statement'!F8</f>
        <v>787.1</v>
      </c>
      <c r="G9" s="4">
        <f>'Income Statement'!G8</f>
        <v>1112.3</v>
      </c>
    </row>
    <row r="10" spans="2:7" ht="18.75" x14ac:dyDescent="0.25">
      <c r="B10" s="9" t="s">
        <v>132</v>
      </c>
      <c r="C10" s="6"/>
      <c r="D10" s="7">
        <f>D7+D8-D9</f>
        <v>728.2</v>
      </c>
      <c r="E10" s="7">
        <f t="shared" ref="E10:G10" si="0">E7+E8-E9</f>
        <v>445.29999999999995</v>
      </c>
      <c r="F10" s="7">
        <f t="shared" si="0"/>
        <v>844.6</v>
      </c>
      <c r="G10" s="7">
        <f t="shared" si="0"/>
        <v>570.70000000000005</v>
      </c>
    </row>
    <row r="11" spans="2:7" ht="18.75" x14ac:dyDescent="0.25">
      <c r="B11" s="8" t="s">
        <v>133</v>
      </c>
      <c r="C11" s="4"/>
      <c r="D11" s="4"/>
      <c r="E11" s="4"/>
      <c r="F11" s="4"/>
      <c r="G11" s="4"/>
    </row>
    <row r="12" spans="2:7" ht="18.75" x14ac:dyDescent="0.25">
      <c r="B12" s="8" t="str">
        <f>'Balance Sheet'!B31</f>
        <v>Deferred Tax Assets [Net]</v>
      </c>
      <c r="C12" s="4"/>
      <c r="D12" s="4">
        <f>'Balance Sheet'!C31-'Balance Sheet'!D31</f>
        <v>-32.5</v>
      </c>
      <c r="E12" s="4">
        <f>'Balance Sheet'!D31-'Balance Sheet'!E31</f>
        <v>-235.19999999999993</v>
      </c>
      <c r="F12" s="4">
        <f>'Balance Sheet'!E31-'Balance Sheet'!F31</f>
        <v>-69</v>
      </c>
      <c r="G12" s="4">
        <f>'Balance Sheet'!F31-'Balance Sheet'!G31</f>
        <v>94.199999999999932</v>
      </c>
    </row>
    <row r="13" spans="2:7" ht="18.75" x14ac:dyDescent="0.25">
      <c r="B13" s="8" t="str">
        <f>'Balance Sheet'!B32</f>
        <v>Long Term Loans And Advances</v>
      </c>
      <c r="C13" s="4"/>
      <c r="D13" s="4">
        <f>'Balance Sheet'!C32-'Balance Sheet'!D32</f>
        <v>0.90000000000000036</v>
      </c>
      <c r="E13" s="4">
        <f>'Balance Sheet'!D32-'Balance Sheet'!E32</f>
        <v>-0.20000000000000018</v>
      </c>
      <c r="F13" s="4">
        <f>'Balance Sheet'!E32-'Balance Sheet'!F32</f>
        <v>-0.20000000000000018</v>
      </c>
      <c r="G13" s="4">
        <f>'Balance Sheet'!F32-'Balance Sheet'!G32</f>
        <v>-8.8999999999999986</v>
      </c>
    </row>
    <row r="14" spans="2:7" ht="18.75" x14ac:dyDescent="0.25">
      <c r="B14" s="8" t="str">
        <f>'Balance Sheet'!B33</f>
        <v>Other Non-Current Assets</v>
      </c>
      <c r="C14" s="4"/>
      <c r="D14" s="5">
        <f>'Balance Sheet'!C33-'Balance Sheet'!D33</f>
        <v>-537.89999999999964</v>
      </c>
      <c r="E14" s="5">
        <f>'Balance Sheet'!D33-'Balance Sheet'!E33</f>
        <v>-996.10000000000036</v>
      </c>
      <c r="F14" s="5">
        <f>'Balance Sheet'!E33-'Balance Sheet'!F33</f>
        <v>382.10000000000036</v>
      </c>
      <c r="G14" s="5">
        <f>'Balance Sheet'!F33-'Balance Sheet'!G33</f>
        <v>-1330.7600000000002</v>
      </c>
    </row>
    <row r="15" spans="2:7" ht="18.75" x14ac:dyDescent="0.25">
      <c r="B15" s="8" t="str">
        <f>'Balance Sheet'!B34</f>
        <v>Short Term Loans And Advances</v>
      </c>
      <c r="C15" s="4"/>
      <c r="D15" s="4">
        <f>'Balance Sheet'!C34-'Balance Sheet'!D34</f>
        <v>150</v>
      </c>
      <c r="E15" s="4">
        <f>'Balance Sheet'!D34-'Balance Sheet'!E34</f>
        <v>0</v>
      </c>
      <c r="F15" s="4">
        <f>'Balance Sheet'!E34-'Balance Sheet'!F34</f>
        <v>0</v>
      </c>
      <c r="G15" s="4">
        <f>'Balance Sheet'!F34-'Balance Sheet'!G34</f>
        <v>0</v>
      </c>
    </row>
    <row r="16" spans="2:7" ht="18.75" x14ac:dyDescent="0.25">
      <c r="B16" s="8" t="str">
        <f>'Balance Sheet'!B35</f>
        <v>OtherCurrentAssets</v>
      </c>
      <c r="C16" s="4"/>
      <c r="D16" s="5">
        <f>'Balance Sheet'!C35-'Balance Sheet'!D35</f>
        <v>-679.39999999999964</v>
      </c>
      <c r="E16" s="5">
        <f>'Balance Sheet'!D35-'Balance Sheet'!E35</f>
        <v>-1215.3000000000002</v>
      </c>
      <c r="F16" s="5">
        <f>'Balance Sheet'!E35-'Balance Sheet'!F35</f>
        <v>537.5</v>
      </c>
      <c r="G16" s="5">
        <f>'Balance Sheet'!F35-'Balance Sheet'!G35</f>
        <v>2189.7999999999997</v>
      </c>
    </row>
    <row r="17" spans="2:7" ht="18.75" x14ac:dyDescent="0.25">
      <c r="B17" s="8" t="str">
        <f>'Balance Sheet'!B36</f>
        <v>Inventories</v>
      </c>
      <c r="C17" s="4"/>
      <c r="D17" s="4">
        <f>'Balance Sheet'!C36-'Balance Sheet'!D36</f>
        <v>-9.2999999999999972</v>
      </c>
      <c r="E17" s="4">
        <f>'Balance Sheet'!D36-'Balance Sheet'!E36</f>
        <v>39.400000000000006</v>
      </c>
      <c r="F17" s="4">
        <f>'Balance Sheet'!E36-'Balance Sheet'!F36</f>
        <v>11.599999999999998</v>
      </c>
      <c r="G17" s="4">
        <f>'Balance Sheet'!F36-'Balance Sheet'!G36</f>
        <v>-16.3</v>
      </c>
    </row>
    <row r="18" spans="2:7" ht="18.75" x14ac:dyDescent="0.25">
      <c r="B18" s="8" t="str">
        <f>'Balance Sheet'!B37</f>
        <v>Trade Receivables</v>
      </c>
      <c r="C18" s="4"/>
      <c r="D18" s="5">
        <f>'Balance Sheet'!C37-'Balance Sheet'!D37</f>
        <v>-460.70000000000073</v>
      </c>
      <c r="E18" s="5">
        <f>'Balance Sheet'!D37-'Balance Sheet'!E37</f>
        <v>-618.59999999999945</v>
      </c>
      <c r="F18" s="5">
        <f>'Balance Sheet'!E37-'Balance Sheet'!F37</f>
        <v>1104.3999999999996</v>
      </c>
      <c r="G18" s="5">
        <f>'Balance Sheet'!F37-'Balance Sheet'!G37</f>
        <v>-5460.5999999999995</v>
      </c>
    </row>
    <row r="19" spans="2:7" ht="18.75" x14ac:dyDescent="0.25">
      <c r="B19" s="8" t="s">
        <v>134</v>
      </c>
      <c r="C19" s="4"/>
      <c r="D19" s="4"/>
      <c r="E19" s="4"/>
      <c r="F19" s="4"/>
      <c r="G19" s="4"/>
    </row>
    <row r="20" spans="2:7" ht="18.75" x14ac:dyDescent="0.25">
      <c r="B20" s="8" t="str">
        <f>'Balance Sheet'!B14</f>
        <v>Long Term Provisions</v>
      </c>
      <c r="C20" s="4"/>
      <c r="D20" s="4">
        <f>'Balance Sheet'!D14-'Balance Sheet'!C14</f>
        <v>25</v>
      </c>
      <c r="E20" s="4">
        <f>'Balance Sheet'!E14-'Balance Sheet'!D14</f>
        <v>89</v>
      </c>
      <c r="F20" s="4">
        <f>'Balance Sheet'!F14-'Balance Sheet'!E14</f>
        <v>111.89999999999998</v>
      </c>
      <c r="G20" s="4">
        <f>'Balance Sheet'!G14-'Balance Sheet'!F14</f>
        <v>100.10000000000002</v>
      </c>
    </row>
    <row r="21" spans="2:7" ht="18.75" x14ac:dyDescent="0.25">
      <c r="B21" s="8" t="str">
        <f>'Balance Sheet'!B15</f>
        <v>Short Term Provisions</v>
      </c>
      <c r="C21" s="4"/>
      <c r="D21" s="4">
        <f>'Balance Sheet'!D15-'Balance Sheet'!C15</f>
        <v>-7.8000000000000114</v>
      </c>
      <c r="E21" s="4">
        <f>'Balance Sheet'!E15-'Balance Sheet'!D15</f>
        <v>41.199999999999989</v>
      </c>
      <c r="F21" s="4">
        <f>'Balance Sheet'!F15-'Balance Sheet'!E15</f>
        <v>94.700000000000045</v>
      </c>
      <c r="G21" s="4">
        <f>'Balance Sheet'!G15-'Balance Sheet'!F15</f>
        <v>140.5</v>
      </c>
    </row>
    <row r="22" spans="2:7" ht="18.75" x14ac:dyDescent="0.25">
      <c r="B22" s="8" t="str">
        <f>'Balance Sheet'!B16</f>
        <v>Other Long Term Liabilities</v>
      </c>
      <c r="C22" s="4"/>
      <c r="D22" s="5">
        <f>'Balance Sheet'!D16-'Balance Sheet'!C16</f>
        <v>-272.80000000000007</v>
      </c>
      <c r="E22" s="5">
        <f>'Balance Sheet'!E16-'Balance Sheet'!D16</f>
        <v>1774.1999999999998</v>
      </c>
      <c r="F22" s="5">
        <f>'Balance Sheet'!F16-'Balance Sheet'!E16</f>
        <v>-204.89999999999986</v>
      </c>
      <c r="G22" s="5">
        <f>'Balance Sheet'!G16-'Balance Sheet'!F16</f>
        <v>373.39999999999986</v>
      </c>
    </row>
    <row r="23" spans="2:7" ht="18.75" x14ac:dyDescent="0.25">
      <c r="B23" s="8" t="str">
        <f>'Balance Sheet'!B17</f>
        <v>Trade Payables</v>
      </c>
      <c r="C23" s="4"/>
      <c r="D23" s="5">
        <f>'Balance Sheet'!D17-'Balance Sheet'!C17</f>
        <v>452.50000000000023</v>
      </c>
      <c r="E23" s="5">
        <f>'Balance Sheet'!E17-'Balance Sheet'!D17</f>
        <v>767.29999999999973</v>
      </c>
      <c r="F23" s="5">
        <f>'Balance Sheet'!F17-'Balance Sheet'!E17</f>
        <v>-471.59999999999991</v>
      </c>
      <c r="G23" s="5">
        <f>'Balance Sheet'!G17-'Balance Sheet'!F17</f>
        <v>1309.6999999999998</v>
      </c>
    </row>
    <row r="24" spans="2:7" ht="18.75" x14ac:dyDescent="0.25">
      <c r="B24" s="8" t="str">
        <f>'Balance Sheet'!B18</f>
        <v>Other Current Liabilities</v>
      </c>
      <c r="C24" s="4"/>
      <c r="D24" s="5">
        <f>'Balance Sheet'!D18-'Balance Sheet'!C18</f>
        <v>1728.5</v>
      </c>
      <c r="E24" s="5">
        <f>'Balance Sheet'!E18-'Balance Sheet'!D18</f>
        <v>-1267.3000000000002</v>
      </c>
      <c r="F24" s="5">
        <f>'Balance Sheet'!F18-'Balance Sheet'!E18</f>
        <v>482.09999999999945</v>
      </c>
      <c r="G24" s="5">
        <f>'Balance Sheet'!G18-'Balance Sheet'!F18</f>
        <v>2063.8000000000002</v>
      </c>
    </row>
    <row r="25" spans="2:7" ht="18.75" x14ac:dyDescent="0.25">
      <c r="B25" s="8" t="s">
        <v>103</v>
      </c>
      <c r="C25" s="4"/>
      <c r="D25" s="4"/>
      <c r="E25" s="4"/>
      <c r="F25" s="4"/>
      <c r="G25" s="4"/>
    </row>
    <row r="26" spans="2:7" ht="18.75" x14ac:dyDescent="0.25">
      <c r="B26" s="8" t="str">
        <f>'Income Statement'!B26</f>
        <v>Total Tax Expenses</v>
      </c>
      <c r="C26" s="4"/>
      <c r="D26" s="5">
        <f>'Income Statement'!D26</f>
        <v>1254.4000000000001</v>
      </c>
      <c r="E26" s="5">
        <f>'Income Statement'!E26</f>
        <v>1160.4000000000001</v>
      </c>
      <c r="F26" s="5">
        <f>'Income Statement'!F26</f>
        <v>1599.9</v>
      </c>
      <c r="G26" s="5">
        <f>'Income Statement'!G26</f>
        <v>1822</v>
      </c>
    </row>
    <row r="27" spans="2:7" ht="18.75" x14ac:dyDescent="0.25">
      <c r="B27" s="9" t="s">
        <v>135</v>
      </c>
      <c r="C27" s="6"/>
      <c r="D27" s="7">
        <f>D12+D13+D14+D15+D16+D17+D18+D20+D21+D22+D23+D24-D26+D10+D5</f>
        <v>5438.9999999999918</v>
      </c>
      <c r="E27" s="7">
        <f t="shared" ref="E27:G27" si="1">E12+E13+E14+E15+E16+E17+E18+E20+E21+E22+E23+E24-E26+E10+E5</f>
        <v>2944.0999999999995</v>
      </c>
      <c r="F27" s="7">
        <f t="shared" si="1"/>
        <v>7225.6999999999989</v>
      </c>
      <c r="G27" s="7">
        <f t="shared" si="1"/>
        <v>5655.7200000000066</v>
      </c>
    </row>
    <row r="28" spans="2:7" ht="18.75" x14ac:dyDescent="0.25">
      <c r="B28" s="8" t="s">
        <v>136</v>
      </c>
      <c r="C28" s="4"/>
      <c r="D28" s="4"/>
      <c r="E28" s="4"/>
      <c r="F28" s="4"/>
      <c r="G28" s="4"/>
    </row>
    <row r="29" spans="2:7" ht="18.75" x14ac:dyDescent="0.25">
      <c r="B29" s="8" t="str">
        <f>'Balance Sheet'!B23</f>
        <v>Tangible Assets</v>
      </c>
      <c r="C29" s="4"/>
      <c r="D29" s="5">
        <f>'Balance Sheet'!C23-'Balance Sheet'!D23</f>
        <v>377.90000000000009</v>
      </c>
      <c r="E29" s="5">
        <f>'Balance Sheet'!D23-'Balance Sheet'!E23</f>
        <v>-1184.6000000000004</v>
      </c>
      <c r="F29" s="5">
        <f>'Balance Sheet'!E23-'Balance Sheet'!F23</f>
        <v>418.80000000000018</v>
      </c>
      <c r="G29" s="5">
        <f>'Balance Sheet'!F23-'Balance Sheet'!G23</f>
        <v>-3026.2</v>
      </c>
    </row>
    <row r="30" spans="2:7" ht="18.75" x14ac:dyDescent="0.25">
      <c r="B30" s="8" t="str">
        <f>'Balance Sheet'!B24</f>
        <v>Intangible Assets</v>
      </c>
      <c r="C30" s="4"/>
      <c r="D30" s="5">
        <f>'Balance Sheet'!C24-'Balance Sheet'!D24</f>
        <v>226.89999999999986</v>
      </c>
      <c r="E30" s="5">
        <f>'Balance Sheet'!D24-'Balance Sheet'!E24</f>
        <v>-54.799999999999955</v>
      </c>
      <c r="F30" s="5">
        <f>'Balance Sheet'!E24-'Balance Sheet'!F24</f>
        <v>55.200000000000045</v>
      </c>
      <c r="G30" s="5">
        <f>'Balance Sheet'!F24-'Balance Sheet'!G24</f>
        <v>1450.8</v>
      </c>
    </row>
    <row r="31" spans="2:7" ht="18.75" x14ac:dyDescent="0.25">
      <c r="B31" s="8" t="str">
        <f>'Balance Sheet'!B27</f>
        <v>Non-Current Investments</v>
      </c>
      <c r="C31" s="4"/>
      <c r="D31" s="4">
        <f>'Balance Sheet'!C27-'Balance Sheet'!D27</f>
        <v>493.79999999999995</v>
      </c>
      <c r="E31" s="4">
        <f>'Balance Sheet'!D27-'Balance Sheet'!E27</f>
        <v>516</v>
      </c>
      <c r="F31" s="4">
        <f>'Balance Sheet'!E27-'Balance Sheet'!F27</f>
        <v>-339.70000000000005</v>
      </c>
      <c r="G31" s="4">
        <f>'Balance Sheet'!F27-'Balance Sheet'!G27</f>
        <v>127.85000000000002</v>
      </c>
    </row>
    <row r="32" spans="2:7" ht="18.75" x14ac:dyDescent="0.25">
      <c r="B32" s="8" t="str">
        <f>'Balance Sheet'!B28</f>
        <v>Current Investments</v>
      </c>
      <c r="C32" s="4"/>
      <c r="D32" s="5">
        <f>'Balance Sheet'!C28-'Balance Sheet'!D28</f>
        <v>-3144.9999999999995</v>
      </c>
      <c r="E32" s="5">
        <f>'Balance Sheet'!D28-'Balance Sheet'!E28</f>
        <v>977.59999999999945</v>
      </c>
      <c r="F32" s="5">
        <f>'Balance Sheet'!E28-'Balance Sheet'!F28</f>
        <v>-4049.5999999999995</v>
      </c>
      <c r="G32" s="5">
        <f>'Balance Sheet'!F28-'Balance Sheet'!G28</f>
        <v>5226</v>
      </c>
    </row>
    <row r="33" spans="2:7" ht="18.75" x14ac:dyDescent="0.25">
      <c r="B33" s="8" t="str">
        <f>'Balance Sheet'!B29</f>
        <v>Capital Work-In-Progress</v>
      </c>
      <c r="C33" s="4"/>
      <c r="D33" s="4">
        <f>'Balance Sheet'!C29-'Balance Sheet'!D29</f>
        <v>1503.6000000000001</v>
      </c>
      <c r="E33" s="4">
        <f>'Balance Sheet'!D29-'Balance Sheet'!E29</f>
        <v>226.20000000000002</v>
      </c>
      <c r="F33" s="4">
        <f>'Balance Sheet'!E29-'Balance Sheet'!F29</f>
        <v>-68.199999999999989</v>
      </c>
      <c r="G33" s="4">
        <f>'Balance Sheet'!F29-'Balance Sheet'!G29</f>
        <v>118.3</v>
      </c>
    </row>
    <row r="34" spans="2:7" ht="18.75" x14ac:dyDescent="0.25">
      <c r="B34" s="8" t="s">
        <v>59</v>
      </c>
      <c r="C34" s="4"/>
      <c r="D34" s="4">
        <f>'Income Statement'!D8</f>
        <v>534.20000000000005</v>
      </c>
      <c r="E34" s="4">
        <f>'Income Statement'!E8</f>
        <v>1192.4000000000001</v>
      </c>
      <c r="F34" s="4">
        <f>'Income Statement'!F8</f>
        <v>787.1</v>
      </c>
      <c r="G34" s="4">
        <f>'Income Statement'!G8</f>
        <v>1112.3</v>
      </c>
    </row>
    <row r="35" spans="2:7" ht="18.75" x14ac:dyDescent="0.25">
      <c r="B35" s="9" t="s">
        <v>137</v>
      </c>
      <c r="C35" s="6"/>
      <c r="D35" s="7">
        <f>D29+D30+D31+D32+D33+D34</f>
        <v>-8.5999999999994543</v>
      </c>
      <c r="E35" s="7">
        <f t="shared" ref="E35:G35" si="2">E29+E30+E31+E32+E33+E34</f>
        <v>1672.7999999999993</v>
      </c>
      <c r="F35" s="7">
        <f t="shared" si="2"/>
        <v>-3196.3999999999992</v>
      </c>
      <c r="G35" s="7">
        <f t="shared" si="2"/>
        <v>5009.05</v>
      </c>
    </row>
    <row r="36" spans="2:7" ht="18.75" x14ac:dyDescent="0.25">
      <c r="B36" s="8" t="s">
        <v>138</v>
      </c>
      <c r="C36" s="4"/>
      <c r="D36" s="4"/>
      <c r="E36" s="4"/>
      <c r="F36" s="4"/>
      <c r="G36" s="4"/>
    </row>
    <row r="37" spans="2:7" ht="18.75" x14ac:dyDescent="0.25">
      <c r="B37" s="8" t="str">
        <f>'Balance Sheet'!B5</f>
        <v>Equity Share Capital</v>
      </c>
      <c r="C37" s="4"/>
      <c r="D37" s="4">
        <f>'Balance Sheet'!D5-'Balance Sheet'!C5</f>
        <v>2</v>
      </c>
      <c r="E37" s="4">
        <f>'Balance Sheet'!E5-'Balance Sheet'!D5</f>
        <v>-7.8999999999999773</v>
      </c>
      <c r="F37" s="4">
        <f>'Balance Sheet'!F5-'Balance Sheet'!E5</f>
        <v>1.1999999999999886</v>
      </c>
      <c r="G37" s="4">
        <f>'Balance Sheet'!G5-'Balance Sheet'!F5</f>
        <v>1.8100000000000023</v>
      </c>
    </row>
    <row r="38" spans="2:7" ht="18.75" x14ac:dyDescent="0.25">
      <c r="B38" s="8" t="str">
        <f>'Balance Sheet'!B6</f>
        <v>Preference Share Capital</v>
      </c>
      <c r="C38" s="4"/>
      <c r="D38" s="4">
        <f>'Balance Sheet'!D6-'Balance Sheet'!C6</f>
        <v>0</v>
      </c>
      <c r="E38" s="4">
        <f>'Balance Sheet'!E6-'Balance Sheet'!D6</f>
        <v>0</v>
      </c>
      <c r="F38" s="4">
        <f>'Balance Sheet'!F6-'Balance Sheet'!E6</f>
        <v>0</v>
      </c>
      <c r="G38" s="4">
        <f>'Balance Sheet'!G6-'Balance Sheet'!F6</f>
        <v>0</v>
      </c>
    </row>
    <row r="39" spans="2:7" ht="18.75" x14ac:dyDescent="0.25">
      <c r="B39" s="8" t="str">
        <f>'Balance Sheet'!B10</f>
        <v>Long Term Borrowings</v>
      </c>
      <c r="C39" s="4"/>
      <c r="D39" s="4">
        <f>'Balance Sheet'!D10-'Balance Sheet'!C10</f>
        <v>-562.5</v>
      </c>
      <c r="E39" s="4">
        <f>'Balance Sheet'!E10-'Balance Sheet'!D10</f>
        <v>-29.900000000000006</v>
      </c>
      <c r="F39" s="4">
        <f>'Balance Sheet'!F10-'Balance Sheet'!E10</f>
        <v>-12.899999999999977</v>
      </c>
      <c r="G39" s="4">
        <f>'Balance Sheet'!G10-'Balance Sheet'!F10</f>
        <v>-23.800000000000011</v>
      </c>
    </row>
    <row r="40" spans="2:7" ht="18.75" x14ac:dyDescent="0.25">
      <c r="B40" s="8" t="str">
        <f>'Balance Sheet'!B11</f>
        <v>Deferred Tax Liabilities [Net]</v>
      </c>
      <c r="C40" s="4"/>
      <c r="D40" s="4">
        <f>'Balance Sheet'!D11-'Balance Sheet'!C11</f>
        <v>-4.6999999999999993</v>
      </c>
      <c r="E40" s="4">
        <f>'Balance Sheet'!E11-'Balance Sheet'!D11</f>
        <v>34.5</v>
      </c>
      <c r="F40" s="4">
        <f>'Balance Sheet'!F11-'Balance Sheet'!E11</f>
        <v>40.499999999999993</v>
      </c>
      <c r="G40" s="4">
        <f>'Balance Sheet'!G11-'Balance Sheet'!F11</f>
        <v>379.1</v>
      </c>
    </row>
    <row r="41" spans="2:7" ht="18.75" x14ac:dyDescent="0.25">
      <c r="B41" s="8" t="str">
        <f>'Balance Sheet'!B12</f>
        <v>Short Term Borrowings</v>
      </c>
      <c r="C41" s="4"/>
      <c r="D41" s="5">
        <f>'Balance Sheet'!D12-'Balance Sheet'!C12</f>
        <v>241.19999999999993</v>
      </c>
      <c r="E41" s="5">
        <f>'Balance Sheet'!E12-'Balance Sheet'!D12</f>
        <v>1053.4000000000001</v>
      </c>
      <c r="F41" s="5">
        <f>'Balance Sheet'!F12-'Balance Sheet'!E12</f>
        <v>-753.5</v>
      </c>
      <c r="G41" s="5">
        <f>'Balance Sheet'!G12-'Balance Sheet'!F12</f>
        <v>-56.259999999999991</v>
      </c>
    </row>
    <row r="42" spans="2:7" ht="18.75" x14ac:dyDescent="0.25">
      <c r="B42" s="8" t="str">
        <f>'Balance Sheet'!B20:G20</f>
        <v>Minority Interest</v>
      </c>
      <c r="C42" s="4"/>
      <c r="D42" s="4">
        <f>'Balance Sheet'!D20-'Balance Sheet'!C20</f>
        <v>-31.400000000000034</v>
      </c>
      <c r="E42" s="4">
        <f>'Balance Sheet'!E20-'Balance Sheet'!D20</f>
        <v>-84.399999999999977</v>
      </c>
      <c r="F42" s="4">
        <f>'Balance Sheet'!F20-'Balance Sheet'!E20</f>
        <v>-13.800000000000011</v>
      </c>
      <c r="G42" s="4">
        <f>'Balance Sheet'!G20-'Balance Sheet'!F20</f>
        <v>115.89999999999998</v>
      </c>
    </row>
    <row r="43" spans="2:7" ht="18.75" x14ac:dyDescent="0.25">
      <c r="B43" s="8" t="s">
        <v>139</v>
      </c>
      <c r="C43" s="4"/>
      <c r="D43" s="4"/>
      <c r="E43" s="4"/>
      <c r="F43" s="4"/>
      <c r="G43" s="4"/>
    </row>
    <row r="44" spans="2:7" ht="18.75" x14ac:dyDescent="0.25">
      <c r="B44" s="8" t="str">
        <f>'Income Statement'!B28</f>
        <v>Equity Share Dividend</v>
      </c>
      <c r="C44" s="4"/>
      <c r="D44" s="5">
        <f>'Income Statement'!D28</f>
        <v>1490.7</v>
      </c>
      <c r="E44" s="5">
        <f>'Income Statement'!E28</f>
        <v>2491.6999999999998</v>
      </c>
      <c r="F44" s="5">
        <f>'Income Statement'!F28</f>
        <v>1759.2</v>
      </c>
      <c r="G44" s="5">
        <f>'Income Statement'!G28</f>
        <v>0</v>
      </c>
    </row>
    <row r="45" spans="2:7" ht="18.75" x14ac:dyDescent="0.25">
      <c r="B45" s="8" t="str">
        <f>'Income Statement'!B29</f>
        <v>Tax On Dividend</v>
      </c>
      <c r="C45" s="4"/>
      <c r="D45" s="4">
        <f>'Income Statement'!D29</f>
        <v>0</v>
      </c>
      <c r="E45" s="4">
        <f>'Income Statement'!E29</f>
        <v>0</v>
      </c>
      <c r="F45" s="4">
        <f>'Income Statement'!F29</f>
        <v>0</v>
      </c>
      <c r="G45" s="4">
        <f>'Income Statement'!G29</f>
        <v>0</v>
      </c>
    </row>
    <row r="46" spans="2:7" ht="18.75" x14ac:dyDescent="0.25">
      <c r="B46" s="8" t="s">
        <v>140</v>
      </c>
      <c r="C46" s="4"/>
      <c r="D46" s="4">
        <f>'Income Statement'!D20</f>
        <v>133.19999999999999</v>
      </c>
      <c r="E46" s="4">
        <f>'Income Statement'!E20</f>
        <v>191.9</v>
      </c>
      <c r="F46" s="4">
        <f>'Income Statement'!F20</f>
        <v>174</v>
      </c>
      <c r="G46" s="4">
        <f>'Income Statement'!G20</f>
        <v>162.6</v>
      </c>
    </row>
    <row r="47" spans="2:7" ht="18.75" x14ac:dyDescent="0.25">
      <c r="B47" s="9" t="s">
        <v>141</v>
      </c>
      <c r="C47" s="6"/>
      <c r="D47" s="7">
        <f>D37+D38+D39+D40+D41+D42-D44-D45-D46</f>
        <v>-1979.3000000000002</v>
      </c>
      <c r="E47" s="7">
        <f t="shared" ref="E47:G47" si="3">E37+E38+E39+E40+E41+E42-E44-E45-E46</f>
        <v>-1717.8999999999996</v>
      </c>
      <c r="F47" s="7">
        <f t="shared" si="3"/>
        <v>-2671.7</v>
      </c>
      <c r="G47" s="7">
        <f t="shared" si="3"/>
        <v>254.15</v>
      </c>
    </row>
    <row r="48" spans="2:7" ht="18.75" x14ac:dyDescent="0.25">
      <c r="B48" s="9" t="s">
        <v>142</v>
      </c>
      <c r="C48" s="6"/>
      <c r="D48" s="7">
        <f>D27+D35+D47</f>
        <v>3451.0999999999922</v>
      </c>
      <c r="E48" s="7">
        <f t="shared" ref="E48:G48" si="4">E27+E35+E47</f>
        <v>2898.9999999999991</v>
      </c>
      <c r="F48" s="7">
        <f t="shared" si="4"/>
        <v>1357.6</v>
      </c>
      <c r="G48" s="7">
        <f t="shared" si="4"/>
        <v>10918.920000000007</v>
      </c>
    </row>
  </sheetData>
  <mergeCells count="1">
    <mergeCell ref="B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98F3B-21FD-4331-A4B2-6252B4F399F6}">
  <dimension ref="B3:L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3" width="13.5703125" bestFit="1" customWidth="1"/>
    <col min="4" max="6" width="15.140625" bestFit="1" customWidth="1"/>
    <col min="7" max="7" width="14" bestFit="1" customWidth="1"/>
  </cols>
  <sheetData>
    <row r="3" spans="2:12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12" ht="19.5" thickBot="1" x14ac:dyDescent="0.3">
      <c r="B5" s="14" t="s">
        <v>145</v>
      </c>
      <c r="C5" s="14"/>
      <c r="D5" s="14"/>
      <c r="E5" s="14"/>
      <c r="F5" s="14"/>
      <c r="G5" s="14"/>
    </row>
    <row r="6" spans="2:12" ht="19.5" thickTop="1" x14ac:dyDescent="0.25">
      <c r="B6" s="15" t="str">
        <f>'Income Statement'!B27</f>
        <v>Reported Net Profit(PAT)</v>
      </c>
      <c r="C6" s="16">
        <f>'Income Statement'!C27</f>
        <v>3786.1000000000026</v>
      </c>
      <c r="D6" s="16">
        <f>'Income Statement'!D27</f>
        <v>4354.299999999992</v>
      </c>
      <c r="E6" s="16">
        <f>'Income Statement'!E27</f>
        <v>4120.3999999999996</v>
      </c>
      <c r="F6" s="16">
        <f>'Income Statement'!F27</f>
        <v>4402.4999999999982</v>
      </c>
      <c r="G6" s="16">
        <f>'Income Statement'!G27</f>
        <v>5630.0800000000063</v>
      </c>
      <c r="I6" s="18"/>
      <c r="J6" s="19"/>
      <c r="K6" s="19"/>
      <c r="L6" s="20"/>
    </row>
    <row r="7" spans="2:12" ht="18.75" x14ac:dyDescent="0.25">
      <c r="B7" s="15" t="str">
        <f>'Income Statement'!B35</f>
        <v>Total Shares Outstanding(cr)</v>
      </c>
      <c r="C7" s="16">
        <f>'Income Statement'!C35</f>
        <v>88.048837209302391</v>
      </c>
      <c r="D7" s="16">
        <f>'Income Statement'!D35</f>
        <v>90.714583333333167</v>
      </c>
      <c r="E7" s="16">
        <f>'Income Statement'!E35</f>
        <v>89.573913043478257</v>
      </c>
      <c r="F7" s="16">
        <f>'Income Statement'!F35</f>
        <v>86.323529411764667</v>
      </c>
      <c r="G7" s="16">
        <f>'Income Statement'!G35</f>
        <v>89.366349206349312</v>
      </c>
      <c r="I7" s="21"/>
      <c r="J7" s="22"/>
      <c r="K7" s="22"/>
      <c r="L7" s="23"/>
    </row>
    <row r="8" spans="2:12" ht="19.5" thickBot="1" x14ac:dyDescent="0.3">
      <c r="B8" s="17" t="s">
        <v>146</v>
      </c>
      <c r="C8" s="17">
        <f>ROUND(C6/C7, 2)</f>
        <v>43</v>
      </c>
      <c r="D8" s="17">
        <f t="shared" ref="D8:G8" si="0">ROUND(D6/D7, 2)</f>
        <v>48</v>
      </c>
      <c r="E8" s="17">
        <f t="shared" si="0"/>
        <v>46</v>
      </c>
      <c r="F8" s="17">
        <f t="shared" si="0"/>
        <v>51</v>
      </c>
      <c r="G8" s="17">
        <f t="shared" si="0"/>
        <v>63</v>
      </c>
      <c r="I8" s="24"/>
      <c r="J8" s="25"/>
      <c r="K8" s="25"/>
      <c r="L8" s="26"/>
    </row>
    <row r="9" spans="2:12" ht="15.75" thickTop="1" x14ac:dyDescent="0.25"/>
    <row r="10" spans="2:12" ht="19.5" thickBot="1" x14ac:dyDescent="0.3">
      <c r="B10" s="14" t="s">
        <v>147</v>
      </c>
      <c r="C10" s="14"/>
      <c r="D10" s="14"/>
      <c r="E10" s="14"/>
      <c r="F10" s="14"/>
      <c r="G10" s="14"/>
    </row>
    <row r="11" spans="2:12" ht="19.5" thickTop="1" x14ac:dyDescent="0.25">
      <c r="B11" s="15" t="str">
        <f>'Income Statement'!B28</f>
        <v>Equity Share Dividend</v>
      </c>
      <c r="C11" s="16">
        <f>'Income Statement'!C28</f>
        <v>943.8</v>
      </c>
      <c r="D11" s="16">
        <f>'Income Statement'!D28</f>
        <v>1490.7</v>
      </c>
      <c r="E11" s="16">
        <f>'Income Statement'!E28</f>
        <v>2491.6999999999998</v>
      </c>
      <c r="F11" s="16">
        <f>'Income Statement'!F28</f>
        <v>1759.2</v>
      </c>
      <c r="G11" s="16">
        <f>'Income Statement'!G28</f>
        <v>0</v>
      </c>
      <c r="I11" s="18"/>
      <c r="J11" s="19"/>
      <c r="K11" s="19"/>
      <c r="L11" s="20"/>
    </row>
    <row r="12" spans="2:12" ht="18.75" x14ac:dyDescent="0.25">
      <c r="B12" s="15" t="str">
        <f>'Income Statement'!B35</f>
        <v>Total Shares Outstanding(cr)</v>
      </c>
      <c r="C12" s="16">
        <f>'Income Statement'!C35</f>
        <v>88.048837209302391</v>
      </c>
      <c r="D12" s="16">
        <f>'Income Statement'!D35</f>
        <v>90.714583333333167</v>
      </c>
      <c r="E12" s="16">
        <f>'Income Statement'!E35</f>
        <v>89.573913043478257</v>
      </c>
      <c r="F12" s="16">
        <f>'Income Statement'!F35</f>
        <v>86.323529411764667</v>
      </c>
      <c r="G12" s="16">
        <f>'Income Statement'!G35</f>
        <v>89.366349206349312</v>
      </c>
      <c r="I12" s="21"/>
      <c r="J12" s="22"/>
      <c r="K12" s="22"/>
      <c r="L12" s="23"/>
    </row>
    <row r="13" spans="2:12" ht="19.5" thickBot="1" x14ac:dyDescent="0.3">
      <c r="B13" s="17" t="s">
        <v>148</v>
      </c>
      <c r="C13" s="17">
        <f>ROUND(C11/C12, 2)</f>
        <v>10.72</v>
      </c>
      <c r="D13" s="17">
        <f t="shared" ref="D13:G13" si="1">ROUND(D11/D12, 2)</f>
        <v>16.43</v>
      </c>
      <c r="E13" s="17">
        <f t="shared" si="1"/>
        <v>27.82</v>
      </c>
      <c r="F13" s="17">
        <f t="shared" si="1"/>
        <v>20.38</v>
      </c>
      <c r="G13" s="17">
        <f t="shared" si="1"/>
        <v>0</v>
      </c>
      <c r="I13" s="24"/>
      <c r="J13" s="25"/>
      <c r="K13" s="25"/>
      <c r="L13" s="26"/>
    </row>
    <row r="14" spans="2:12" ht="15.75" thickTop="1" x14ac:dyDescent="0.25"/>
    <row r="15" spans="2:12" ht="19.5" thickBot="1" x14ac:dyDescent="0.3">
      <c r="B15" s="14" t="s">
        <v>149</v>
      </c>
      <c r="C15" s="14"/>
      <c r="D15" s="14"/>
      <c r="E15" s="14"/>
      <c r="F15" s="14"/>
      <c r="G15" s="14"/>
    </row>
    <row r="16" spans="2:12" ht="19.5" thickTop="1" x14ac:dyDescent="0.25">
      <c r="B16" s="15" t="str">
        <f>'Balance Sheet'!B9</f>
        <v>Net Worth</v>
      </c>
      <c r="C16" s="16">
        <f>'Balance Sheet'!C9</f>
        <v>18840.400000000001</v>
      </c>
      <c r="D16" s="16">
        <f>'Balance Sheet'!D9</f>
        <v>21705.999999999993</v>
      </c>
      <c r="E16" s="16">
        <f>'Balance Sheet'!E9</f>
        <v>23326.799999999992</v>
      </c>
      <c r="F16" s="16">
        <f>'Balance Sheet'!F9</f>
        <v>25971.299999999992</v>
      </c>
      <c r="G16" s="16">
        <f>'Balance Sheet'!G9</f>
        <v>31603.19</v>
      </c>
      <c r="I16" s="18"/>
      <c r="J16" s="19"/>
      <c r="K16" s="19"/>
      <c r="L16" s="20"/>
    </row>
    <row r="17" spans="2:12" ht="18.75" x14ac:dyDescent="0.25">
      <c r="B17" s="15" t="str">
        <f>'Income Statement'!B35</f>
        <v>Total Shares Outstanding(cr)</v>
      </c>
      <c r="C17" s="16">
        <f>'Income Statement'!C35</f>
        <v>88.048837209302391</v>
      </c>
      <c r="D17" s="16">
        <f>'Income Statement'!D35</f>
        <v>90.714583333333167</v>
      </c>
      <c r="E17" s="16">
        <f>'Income Statement'!E35</f>
        <v>89.573913043478257</v>
      </c>
      <c r="F17" s="16">
        <f>'Income Statement'!F35</f>
        <v>86.323529411764667</v>
      </c>
      <c r="G17" s="16">
        <f>'Income Statement'!G35</f>
        <v>89.366349206349312</v>
      </c>
      <c r="I17" s="21"/>
      <c r="J17" s="22"/>
      <c r="K17" s="22"/>
      <c r="L17" s="23"/>
    </row>
    <row r="18" spans="2:12" ht="19.5" thickBot="1" x14ac:dyDescent="0.3">
      <c r="B18" s="17" t="s">
        <v>150</v>
      </c>
      <c r="C18" s="17">
        <f>ROUND(C16/C17, 2)</f>
        <v>213.98</v>
      </c>
      <c r="D18" s="17">
        <f t="shared" ref="D18:G18" si="2">ROUND(D16/D17, 2)</f>
        <v>239.28</v>
      </c>
      <c r="E18" s="17">
        <f t="shared" si="2"/>
        <v>260.42</v>
      </c>
      <c r="F18" s="17">
        <f t="shared" si="2"/>
        <v>300.86</v>
      </c>
      <c r="G18" s="17">
        <f t="shared" si="2"/>
        <v>353.64</v>
      </c>
      <c r="I18" s="24"/>
      <c r="J18" s="25"/>
      <c r="K18" s="25"/>
      <c r="L18" s="26"/>
    </row>
    <row r="19" spans="2:12" ht="15.75" thickTop="1" x14ac:dyDescent="0.25"/>
    <row r="20" spans="2:12" ht="18.75" x14ac:dyDescent="0.25">
      <c r="B20" s="14" t="s">
        <v>151</v>
      </c>
      <c r="C20" s="14"/>
      <c r="D20" s="14"/>
      <c r="E20" s="14"/>
      <c r="F20" s="14"/>
      <c r="G20" s="14"/>
    </row>
    <row r="21" spans="2:12" ht="18.75" x14ac:dyDescent="0.25">
      <c r="B21" s="15" t="str">
        <f>'Income Statement'!B28</f>
        <v>Equity Share Dividend</v>
      </c>
      <c r="C21" s="16">
        <f>'Income Statement'!C28</f>
        <v>943.8</v>
      </c>
      <c r="D21" s="16">
        <f>'Income Statement'!D28</f>
        <v>1490.7</v>
      </c>
      <c r="E21" s="16">
        <f>'Income Statement'!E28</f>
        <v>2491.6999999999998</v>
      </c>
      <c r="F21" s="16">
        <f>'Income Statement'!F28</f>
        <v>1759.2</v>
      </c>
      <c r="G21" s="16">
        <f>'Income Statement'!G28</f>
        <v>0</v>
      </c>
    </row>
    <row r="22" spans="2:12" ht="18.75" x14ac:dyDescent="0.25">
      <c r="B22" s="15" t="str">
        <f>'Income Statement'!B35</f>
        <v>Total Shares Outstanding(cr)</v>
      </c>
      <c r="C22" s="16">
        <f>'Income Statement'!C35</f>
        <v>88.048837209302391</v>
      </c>
      <c r="D22" s="16">
        <f>'Income Statement'!D35</f>
        <v>90.714583333333167</v>
      </c>
      <c r="E22" s="16">
        <f>'Income Statement'!E35</f>
        <v>89.573913043478257</v>
      </c>
      <c r="F22" s="16">
        <f>'Income Statement'!F35</f>
        <v>86.323529411764667</v>
      </c>
      <c r="G22" s="16">
        <f>'Income Statement'!G35</f>
        <v>89.366349206349312</v>
      </c>
    </row>
    <row r="23" spans="2:12" ht="18.75" x14ac:dyDescent="0.25">
      <c r="B23" s="15" t="s">
        <v>148</v>
      </c>
      <c r="C23" s="16">
        <f>ROUND(C21/C22, 2)</f>
        <v>10.72</v>
      </c>
      <c r="D23" s="16">
        <f t="shared" ref="D23:G23" si="3">ROUND(D21/D22, 2)</f>
        <v>16.43</v>
      </c>
      <c r="E23" s="16">
        <f t="shared" si="3"/>
        <v>27.82</v>
      </c>
      <c r="F23" s="16">
        <f t="shared" si="3"/>
        <v>20.38</v>
      </c>
      <c r="G23" s="16">
        <f t="shared" si="3"/>
        <v>0</v>
      </c>
    </row>
    <row r="24" spans="2:12" ht="19.5" thickBot="1" x14ac:dyDescent="0.3">
      <c r="B24" s="15" t="str">
        <f>'Income Statement'!B27</f>
        <v>Reported Net Profit(PAT)</v>
      </c>
      <c r="C24" s="16">
        <f>'Income Statement'!C27</f>
        <v>3786.1000000000026</v>
      </c>
      <c r="D24" s="16">
        <f>'Income Statement'!D27</f>
        <v>4354.299999999992</v>
      </c>
      <c r="E24" s="16">
        <f>'Income Statement'!E27</f>
        <v>4120.3999999999996</v>
      </c>
      <c r="F24" s="16">
        <f>'Income Statement'!F27</f>
        <v>4402.4999999999982</v>
      </c>
      <c r="G24" s="16">
        <f>'Income Statement'!G27</f>
        <v>5630.0800000000063</v>
      </c>
    </row>
    <row r="25" spans="2:12" ht="19.5" thickTop="1" x14ac:dyDescent="0.25">
      <c r="B25" s="15" t="str">
        <f>'Income Statement'!B35</f>
        <v>Total Shares Outstanding(cr)</v>
      </c>
      <c r="C25" s="16">
        <f>'Income Statement'!C35</f>
        <v>88.048837209302391</v>
      </c>
      <c r="D25" s="16">
        <f>'Income Statement'!D35</f>
        <v>90.714583333333167</v>
      </c>
      <c r="E25" s="16">
        <f>'Income Statement'!E35</f>
        <v>89.573913043478257</v>
      </c>
      <c r="F25" s="16">
        <f>'Income Statement'!F35</f>
        <v>86.323529411764667</v>
      </c>
      <c r="G25" s="16">
        <f>'Income Statement'!G35</f>
        <v>89.366349206349312</v>
      </c>
      <c r="I25" s="18"/>
      <c r="J25" s="19"/>
      <c r="K25" s="19"/>
      <c r="L25" s="20"/>
    </row>
    <row r="26" spans="2:12" ht="18.75" x14ac:dyDescent="0.25">
      <c r="B26" s="15" t="s">
        <v>146</v>
      </c>
      <c r="C26" s="16">
        <f>C24/C25</f>
        <v>43</v>
      </c>
      <c r="D26" s="16">
        <f t="shared" ref="D26:G26" si="4">D24/D25</f>
        <v>48</v>
      </c>
      <c r="E26" s="16">
        <f t="shared" si="4"/>
        <v>46</v>
      </c>
      <c r="F26" s="16">
        <f t="shared" si="4"/>
        <v>51</v>
      </c>
      <c r="G26" s="16">
        <f t="shared" si="4"/>
        <v>62.999999999999993</v>
      </c>
      <c r="I26" s="21"/>
      <c r="J26" s="22"/>
      <c r="K26" s="22"/>
      <c r="L26" s="23"/>
    </row>
    <row r="27" spans="2:12" ht="19.5" thickBot="1" x14ac:dyDescent="0.3">
      <c r="B27" s="17" t="s">
        <v>152</v>
      </c>
      <c r="C27" s="17">
        <f>ROUND(C23/C26, 2)</f>
        <v>0.25</v>
      </c>
      <c r="D27" s="17">
        <f t="shared" ref="D27:G27" si="5">ROUND(D23/D26, 2)</f>
        <v>0.34</v>
      </c>
      <c r="E27" s="17">
        <f t="shared" si="5"/>
        <v>0.6</v>
      </c>
      <c r="F27" s="17">
        <f t="shared" si="5"/>
        <v>0.4</v>
      </c>
      <c r="G27" s="17">
        <f t="shared" si="5"/>
        <v>0</v>
      </c>
      <c r="I27" s="24"/>
      <c r="J27" s="25"/>
      <c r="K27" s="25"/>
      <c r="L27" s="26"/>
    </row>
    <row r="28" spans="2:12" ht="15.75" thickTop="1" x14ac:dyDescent="0.25"/>
    <row r="29" spans="2:12" ht="18.75" x14ac:dyDescent="0.25">
      <c r="B29" s="14" t="s">
        <v>153</v>
      </c>
      <c r="C29" s="14"/>
      <c r="D29" s="14"/>
      <c r="E29" s="14"/>
      <c r="F29" s="14"/>
      <c r="G29" s="14"/>
    </row>
    <row r="30" spans="2:12" ht="19.5" thickBot="1" x14ac:dyDescent="0.3">
      <c r="B30" s="15" t="str">
        <f>'Income Statement'!B28</f>
        <v>Equity Share Dividend</v>
      </c>
      <c r="C30" s="16">
        <f>'Income Statement'!C28</f>
        <v>943.8</v>
      </c>
      <c r="D30" s="16">
        <f>'Income Statement'!D28</f>
        <v>1490.7</v>
      </c>
      <c r="E30" s="16">
        <f>'Income Statement'!E28</f>
        <v>2491.6999999999998</v>
      </c>
      <c r="F30" s="16">
        <f>'Income Statement'!F28</f>
        <v>1759.2</v>
      </c>
      <c r="G30" s="16">
        <f>'Income Statement'!G28</f>
        <v>0</v>
      </c>
    </row>
    <row r="31" spans="2:12" ht="19.5" thickTop="1" x14ac:dyDescent="0.25">
      <c r="B31" s="15" t="str">
        <f>'Income Statement'!B35</f>
        <v>Total Shares Outstanding(cr)</v>
      </c>
      <c r="C31" s="16">
        <f>'Income Statement'!C35</f>
        <v>88.048837209302391</v>
      </c>
      <c r="D31" s="16">
        <f>'Income Statement'!D35</f>
        <v>90.714583333333167</v>
      </c>
      <c r="E31" s="16">
        <f>'Income Statement'!E35</f>
        <v>89.573913043478257</v>
      </c>
      <c r="F31" s="16">
        <f>'Income Statement'!F35</f>
        <v>86.323529411764667</v>
      </c>
      <c r="G31" s="16">
        <f>'Income Statement'!G35</f>
        <v>89.366349206349312</v>
      </c>
      <c r="I31" s="18"/>
      <c r="J31" s="19"/>
      <c r="K31" s="19"/>
      <c r="L31" s="20"/>
    </row>
    <row r="32" spans="2:12" ht="18.75" x14ac:dyDescent="0.25">
      <c r="B32" s="15" t="s">
        <v>154</v>
      </c>
      <c r="C32" s="16">
        <f>ROUND(C30/C31, 2)</f>
        <v>10.72</v>
      </c>
      <c r="D32" s="16">
        <f t="shared" ref="D32:G32" si="6">ROUND(D30/D31, 2)</f>
        <v>16.43</v>
      </c>
      <c r="E32" s="16">
        <f t="shared" si="6"/>
        <v>27.82</v>
      </c>
      <c r="F32" s="16">
        <f t="shared" si="6"/>
        <v>20.38</v>
      </c>
      <c r="G32" s="16">
        <f t="shared" si="6"/>
        <v>0</v>
      </c>
      <c r="I32" s="21"/>
      <c r="J32" s="22"/>
      <c r="K32" s="22"/>
      <c r="L32" s="23"/>
    </row>
    <row r="33" spans="2:12" ht="19.5" thickBot="1" x14ac:dyDescent="0.3">
      <c r="B33" s="17" t="s">
        <v>155</v>
      </c>
      <c r="C33" s="27">
        <f>1-C32</f>
        <v>-9.7200000000000006</v>
      </c>
      <c r="D33" s="27">
        <f t="shared" ref="D33:G33" si="7">1-D32</f>
        <v>-15.43</v>
      </c>
      <c r="E33" s="27">
        <f t="shared" si="7"/>
        <v>-26.82</v>
      </c>
      <c r="F33" s="27">
        <f t="shared" si="7"/>
        <v>-19.38</v>
      </c>
      <c r="G33" s="27">
        <f t="shared" si="7"/>
        <v>1</v>
      </c>
      <c r="I33" s="24"/>
      <c r="J33" s="25"/>
      <c r="K33" s="25"/>
      <c r="L33" s="26"/>
    </row>
    <row r="34" spans="2:12" ht="15.75" thickTop="1" x14ac:dyDescent="0.25"/>
    <row r="35" spans="2:12" ht="19.5" thickBot="1" x14ac:dyDescent="0.3">
      <c r="B35" s="14" t="s">
        <v>156</v>
      </c>
      <c r="C35" s="14"/>
      <c r="D35" s="14"/>
      <c r="E35" s="14"/>
      <c r="F35" s="14"/>
      <c r="G35" s="14"/>
    </row>
    <row r="36" spans="2:12" ht="19.5" thickTop="1" x14ac:dyDescent="0.25">
      <c r="B36" s="15" t="str">
        <f>'Income Statement'!B5</f>
        <v>Gross Sales</v>
      </c>
      <c r="C36" s="16">
        <f>'Income Statement'!C5</f>
        <v>30772.9</v>
      </c>
      <c r="D36" s="16">
        <f>'Income Statement'!D5</f>
        <v>34742.1</v>
      </c>
      <c r="E36" s="16">
        <f>'Income Statement'!E5</f>
        <v>36867.699999999997</v>
      </c>
      <c r="F36" s="16">
        <f>'Income Statement'!F5</f>
        <v>37855.1</v>
      </c>
      <c r="G36" s="16">
        <f>'Income Statement'!G5</f>
        <v>44645.98</v>
      </c>
      <c r="I36" s="18"/>
      <c r="J36" s="19"/>
      <c r="K36" s="19"/>
      <c r="L36" s="20"/>
    </row>
    <row r="37" spans="2:12" ht="18.75" x14ac:dyDescent="0.25">
      <c r="B37" s="15" t="str">
        <f>'Income Statement'!B11</f>
        <v>Cost Of Materials Consumed</v>
      </c>
      <c r="C37" s="16">
        <f>'Income Statement'!C11</f>
        <v>0</v>
      </c>
      <c r="D37" s="16">
        <f>'Income Statement'!D11</f>
        <v>0</v>
      </c>
      <c r="E37" s="16">
        <f>'Income Statement'!E11</f>
        <v>0</v>
      </c>
      <c r="F37" s="16">
        <f>'Income Statement'!F11</f>
        <v>0</v>
      </c>
      <c r="G37" s="16">
        <f>'Income Statement'!G11</f>
        <v>0</v>
      </c>
      <c r="I37" s="21"/>
      <c r="J37" s="22"/>
      <c r="K37" s="22"/>
      <c r="L37" s="23"/>
    </row>
    <row r="38" spans="2:12" ht="19.5" thickBot="1" x14ac:dyDescent="0.3">
      <c r="B38" s="17" t="s">
        <v>157</v>
      </c>
      <c r="C38" s="28">
        <f>ROUND(C36- C37, 2)</f>
        <v>30772.9</v>
      </c>
      <c r="D38" s="28">
        <f t="shared" ref="D38:G38" si="8">ROUND(D36- D37, 2)</f>
        <v>34742.1</v>
      </c>
      <c r="E38" s="28">
        <f t="shared" si="8"/>
        <v>36867.699999999997</v>
      </c>
      <c r="F38" s="28">
        <f t="shared" si="8"/>
        <v>37855.1</v>
      </c>
      <c r="G38" s="28">
        <f t="shared" si="8"/>
        <v>44645.98</v>
      </c>
      <c r="I38" s="24"/>
      <c r="J38" s="25"/>
      <c r="K38" s="25"/>
      <c r="L38" s="26"/>
    </row>
    <row r="39" spans="2:12" ht="15.75" thickTop="1" x14ac:dyDescent="0.25"/>
    <row r="40" spans="2:12" ht="19.5" thickBot="1" x14ac:dyDescent="0.3">
      <c r="B40" s="14" t="s">
        <v>158</v>
      </c>
      <c r="C40" s="14"/>
      <c r="D40" s="14"/>
      <c r="E40" s="14"/>
      <c r="F40" s="14"/>
      <c r="G40" s="14"/>
    </row>
    <row r="41" spans="2:12" ht="19.5" thickTop="1" x14ac:dyDescent="0.25">
      <c r="B41" s="15" t="str">
        <f>'Income Statement'!B5</f>
        <v>Gross Sales</v>
      </c>
      <c r="C41" s="16">
        <f>'Income Statement'!C5</f>
        <v>30772.9</v>
      </c>
      <c r="D41" s="16">
        <f>'Income Statement'!D5</f>
        <v>34742.1</v>
      </c>
      <c r="E41" s="16">
        <f>'Income Statement'!E5</f>
        <v>36867.699999999997</v>
      </c>
      <c r="F41" s="16">
        <f>'Income Statement'!F5</f>
        <v>37855.1</v>
      </c>
      <c r="G41" s="16">
        <f>'Income Statement'!G5</f>
        <v>44645.98</v>
      </c>
      <c r="I41" s="18"/>
      <c r="J41" s="19"/>
      <c r="K41" s="19"/>
      <c r="L41" s="20"/>
    </row>
    <row r="42" spans="2:12" ht="18.75" x14ac:dyDescent="0.25">
      <c r="B42" s="15" t="str">
        <f>'Income Statement'!B15</f>
        <v>Total Expenditure</v>
      </c>
      <c r="C42" s="16">
        <f>'Income Statement'!C15</f>
        <v>26063.3</v>
      </c>
      <c r="D42" s="16">
        <f>'Income Statement'!D15</f>
        <v>28405.200000000004</v>
      </c>
      <c r="E42" s="16">
        <f>'Income Statement'!E15</f>
        <v>31141.599999999999</v>
      </c>
      <c r="F42" s="16">
        <f>'Income Statement'!F15</f>
        <v>31008.1</v>
      </c>
      <c r="G42" s="16">
        <f>'Income Statement'!G15</f>
        <v>36626</v>
      </c>
      <c r="I42" s="21"/>
      <c r="J42" s="22"/>
      <c r="K42" s="22"/>
      <c r="L42" s="23"/>
    </row>
    <row r="43" spans="2:12" ht="19.5" thickBot="1" x14ac:dyDescent="0.3">
      <c r="B43" s="17" t="s">
        <v>159</v>
      </c>
      <c r="C43" s="28">
        <f>ROUND(C41- C42, 2)</f>
        <v>4709.6000000000004</v>
      </c>
      <c r="D43" s="28">
        <f t="shared" ref="D43:G43" si="9">ROUND(D41- D42, 2)</f>
        <v>6336.9</v>
      </c>
      <c r="E43" s="28">
        <f t="shared" si="9"/>
        <v>5726.1</v>
      </c>
      <c r="F43" s="28">
        <f t="shared" si="9"/>
        <v>6847</v>
      </c>
      <c r="G43" s="28">
        <f t="shared" si="9"/>
        <v>8019.98</v>
      </c>
      <c r="I43" s="24"/>
      <c r="J43" s="25"/>
      <c r="K43" s="25"/>
      <c r="L43" s="26"/>
    </row>
    <row r="44" spans="2:12" ht="15.75" thickTop="1" x14ac:dyDescent="0.25"/>
    <row r="45" spans="2:12" ht="19.5" thickBot="1" x14ac:dyDescent="0.3">
      <c r="B45" s="14" t="s">
        <v>160</v>
      </c>
      <c r="C45" s="14"/>
      <c r="D45" s="14"/>
      <c r="E45" s="14"/>
      <c r="F45" s="14"/>
      <c r="G45" s="14"/>
    </row>
    <row r="46" spans="2:12" ht="19.5" thickTop="1" x14ac:dyDescent="0.25">
      <c r="B46" s="15" t="str">
        <f>'Income Statement'!B27</f>
        <v>Reported Net Profit(PAT)</v>
      </c>
      <c r="C46" s="16">
        <f>'Income Statement'!C27</f>
        <v>3786.1000000000026</v>
      </c>
      <c r="D46" s="16">
        <f>'Income Statement'!D27</f>
        <v>4354.299999999992</v>
      </c>
      <c r="E46" s="16">
        <f>'Income Statement'!E27</f>
        <v>4120.3999999999996</v>
      </c>
      <c r="F46" s="16">
        <f>'Income Statement'!F27</f>
        <v>4402.4999999999982</v>
      </c>
      <c r="G46" s="16">
        <f>'Income Statement'!G27</f>
        <v>5630.0800000000063</v>
      </c>
      <c r="I46" s="18"/>
      <c r="J46" s="19"/>
      <c r="K46" s="19"/>
      <c r="L46" s="20"/>
    </row>
    <row r="47" spans="2:12" ht="18.75" x14ac:dyDescent="0.25">
      <c r="B47" s="15" t="str">
        <f>'Balance Sheet'!B40</f>
        <v>Total Assets</v>
      </c>
      <c r="C47" s="16">
        <f>'Balance Sheet'!C40</f>
        <v>29204.5</v>
      </c>
      <c r="D47" s="16">
        <f>'Balance Sheet'!D40</f>
        <v>33638.099999999991</v>
      </c>
      <c r="E47" s="16">
        <f>'Balance Sheet'!E40</f>
        <v>37636.899999999994</v>
      </c>
      <c r="F47" s="16">
        <f>'Balance Sheet'!F40</f>
        <v>39553.899999999994</v>
      </c>
      <c r="G47" s="16">
        <f>'Balance Sheet'!G40</f>
        <v>49588.229999999996</v>
      </c>
      <c r="I47" s="21"/>
      <c r="J47" s="22"/>
      <c r="K47" s="22"/>
      <c r="L47" s="23"/>
    </row>
    <row r="48" spans="2:12" ht="19.5" thickBot="1" x14ac:dyDescent="0.3">
      <c r="B48" s="17" t="s">
        <v>161</v>
      </c>
      <c r="C48" s="27">
        <f>ROUND(C46/ C47, 2)</f>
        <v>0.13</v>
      </c>
      <c r="D48" s="27">
        <f t="shared" ref="D48:G48" si="10">ROUND(D46/ D47, 2)</f>
        <v>0.13</v>
      </c>
      <c r="E48" s="27">
        <f t="shared" si="10"/>
        <v>0.11</v>
      </c>
      <c r="F48" s="27">
        <f t="shared" si="10"/>
        <v>0.11</v>
      </c>
      <c r="G48" s="27">
        <f t="shared" si="10"/>
        <v>0.11</v>
      </c>
      <c r="I48" s="24"/>
      <c r="J48" s="25"/>
      <c r="K48" s="25"/>
      <c r="L48" s="26"/>
    </row>
    <row r="49" spans="2:12" ht="15.75" thickTop="1" x14ac:dyDescent="0.25"/>
    <row r="50" spans="2:12" ht="18.75" x14ac:dyDescent="0.25">
      <c r="B50" s="14" t="s">
        <v>162</v>
      </c>
      <c r="C50" s="14"/>
      <c r="D50" s="14"/>
      <c r="E50" s="14"/>
      <c r="F50" s="14"/>
      <c r="G50" s="14"/>
    </row>
    <row r="51" spans="2:12" ht="19.5" thickBot="1" x14ac:dyDescent="0.3">
      <c r="B51" s="15" t="str">
        <f>'Income Statement'!B19</f>
        <v>PBIT</v>
      </c>
      <c r="C51" s="16">
        <f>'Income Statement'!C19</f>
        <v>5041.1000000000022</v>
      </c>
      <c r="D51" s="16">
        <f>'Income Statement'!D19</f>
        <v>5741.8999999999915</v>
      </c>
      <c r="E51" s="16">
        <f>'Income Statement'!E19</f>
        <v>5472.7</v>
      </c>
      <c r="F51" s="16">
        <f>'Income Statement'!F19</f>
        <v>6176.3999999999987</v>
      </c>
      <c r="G51" s="16">
        <f>'Income Statement'!G19</f>
        <v>7611.8800000000065</v>
      </c>
    </row>
    <row r="52" spans="2:12" ht="19.5" thickTop="1" x14ac:dyDescent="0.25">
      <c r="B52" s="15" t="str">
        <f>'Balance Sheet'!B13</f>
        <v>Total Debt</v>
      </c>
      <c r="C52" s="16">
        <f>'Balance Sheet'!C13</f>
        <v>1731.8</v>
      </c>
      <c r="D52" s="16">
        <f>'Balance Sheet'!D13</f>
        <v>1405.8</v>
      </c>
      <c r="E52" s="16">
        <f>'Balance Sheet'!E13</f>
        <v>2463.8000000000002</v>
      </c>
      <c r="F52" s="16">
        <f>'Balance Sheet'!F13</f>
        <v>1737.9</v>
      </c>
      <c r="G52" s="16">
        <f>'Balance Sheet'!G13</f>
        <v>2036.94</v>
      </c>
      <c r="I52" s="18"/>
      <c r="J52" s="19"/>
      <c r="K52" s="19"/>
      <c r="L52" s="20"/>
    </row>
    <row r="53" spans="2:12" ht="18.75" x14ac:dyDescent="0.25">
      <c r="B53" s="15" t="str">
        <f>'Balance Sheet'!B9</f>
        <v>Net Worth</v>
      </c>
      <c r="C53" s="16">
        <f>'Balance Sheet'!C9</f>
        <v>18840.400000000001</v>
      </c>
      <c r="D53" s="16">
        <f>'Balance Sheet'!D9</f>
        <v>21705.999999999993</v>
      </c>
      <c r="E53" s="16">
        <f>'Balance Sheet'!E9</f>
        <v>23326.799999999992</v>
      </c>
      <c r="F53" s="16">
        <f>'Balance Sheet'!F9</f>
        <v>25971.299999999992</v>
      </c>
      <c r="G53" s="16">
        <f>'Balance Sheet'!G9</f>
        <v>31603.19</v>
      </c>
      <c r="I53" s="21"/>
      <c r="J53" s="22"/>
      <c r="K53" s="22"/>
      <c r="L53" s="23"/>
    </row>
    <row r="54" spans="2:12" ht="19.5" thickBot="1" x14ac:dyDescent="0.3">
      <c r="B54" s="17" t="s">
        <v>163</v>
      </c>
      <c r="C54" s="27">
        <f>ROUND(C51/ (C52+ C52), 2)</f>
        <v>1.46</v>
      </c>
      <c r="D54" s="27">
        <f t="shared" ref="D54:G54" si="11">ROUND(D51/ (D52+ D52), 2)</f>
        <v>2.04</v>
      </c>
      <c r="E54" s="27">
        <f t="shared" si="11"/>
        <v>1.1100000000000001</v>
      </c>
      <c r="F54" s="27">
        <f t="shared" si="11"/>
        <v>1.78</v>
      </c>
      <c r="G54" s="27">
        <f t="shared" si="11"/>
        <v>1.87</v>
      </c>
      <c r="I54" s="24"/>
      <c r="J54" s="25"/>
      <c r="K54" s="25"/>
      <c r="L54" s="26"/>
    </row>
    <row r="55" spans="2:12" ht="15.75" thickTop="1" x14ac:dyDescent="0.25"/>
    <row r="56" spans="2:12" ht="19.5" thickBot="1" x14ac:dyDescent="0.3">
      <c r="B56" s="14" t="s">
        <v>164</v>
      </c>
      <c r="C56" s="14"/>
      <c r="D56" s="14"/>
      <c r="E56" s="14"/>
      <c r="F56" s="14"/>
      <c r="G56" s="14"/>
    </row>
    <row r="57" spans="2:12" ht="19.5" thickTop="1" x14ac:dyDescent="0.25">
      <c r="B57" s="15" t="str">
        <f>'Income Statement'!B27</f>
        <v>Reported Net Profit(PAT)</v>
      </c>
      <c r="C57" s="16">
        <f>'Income Statement'!C27</f>
        <v>3786.1000000000026</v>
      </c>
      <c r="D57" s="16">
        <f>'Income Statement'!D27</f>
        <v>4354.299999999992</v>
      </c>
      <c r="E57" s="16">
        <f>'Income Statement'!E27</f>
        <v>4120.3999999999996</v>
      </c>
      <c r="F57" s="16">
        <f>'Income Statement'!F27</f>
        <v>4402.4999999999982</v>
      </c>
      <c r="G57" s="16">
        <f>'Income Statement'!G27</f>
        <v>5630.0800000000063</v>
      </c>
      <c r="I57" s="18"/>
      <c r="J57" s="19"/>
      <c r="K57" s="19"/>
      <c r="L57" s="20"/>
    </row>
    <row r="58" spans="2:12" ht="18.75" x14ac:dyDescent="0.25">
      <c r="B58" s="15" t="str">
        <f>'Balance Sheet'!B9</f>
        <v>Net Worth</v>
      </c>
      <c r="C58" s="16">
        <f>'Balance Sheet'!C9</f>
        <v>18840.400000000001</v>
      </c>
      <c r="D58" s="16">
        <f>'Balance Sheet'!D9</f>
        <v>21705.999999999993</v>
      </c>
      <c r="E58" s="16">
        <f>'Balance Sheet'!E9</f>
        <v>23326.799999999992</v>
      </c>
      <c r="F58" s="16">
        <f>'Balance Sheet'!F9</f>
        <v>25971.299999999992</v>
      </c>
      <c r="G58" s="16">
        <f>'Balance Sheet'!G9</f>
        <v>31603.19</v>
      </c>
      <c r="I58" s="21"/>
      <c r="J58" s="22"/>
      <c r="K58" s="22"/>
      <c r="L58" s="23"/>
    </row>
    <row r="59" spans="2:12" ht="19.5" thickBot="1" x14ac:dyDescent="0.3">
      <c r="B59" s="17" t="s">
        <v>165</v>
      </c>
      <c r="C59" s="27">
        <f>ROUND(C57/ (C58+ C58), 2)</f>
        <v>0.1</v>
      </c>
      <c r="D59" s="27">
        <f t="shared" ref="D59:G59" si="12">ROUND(D57/ (D58+ D58), 2)</f>
        <v>0.1</v>
      </c>
      <c r="E59" s="27">
        <f t="shared" si="12"/>
        <v>0.09</v>
      </c>
      <c r="F59" s="27">
        <f t="shared" si="12"/>
        <v>0.08</v>
      </c>
      <c r="G59" s="27">
        <f t="shared" si="12"/>
        <v>0.09</v>
      </c>
      <c r="I59" s="24"/>
      <c r="J59" s="25"/>
      <c r="K59" s="25"/>
      <c r="L59" s="26"/>
    </row>
    <row r="60" spans="2:12" ht="15.75" thickTop="1" x14ac:dyDescent="0.25"/>
    <row r="61" spans="2:12" ht="19.5" thickBot="1" x14ac:dyDescent="0.3">
      <c r="B61" s="14" t="s">
        <v>166</v>
      </c>
      <c r="C61" s="14"/>
      <c r="D61" s="14"/>
      <c r="E61" s="14"/>
      <c r="F61" s="14"/>
      <c r="G61" s="14"/>
    </row>
    <row r="62" spans="2:12" ht="19.5" thickTop="1" x14ac:dyDescent="0.25">
      <c r="B62" s="15" t="str">
        <f>'Balance Sheet'!B13</f>
        <v>Total Debt</v>
      </c>
      <c r="C62" s="16">
        <f>'Balance Sheet'!C13</f>
        <v>1731.8</v>
      </c>
      <c r="D62" s="16">
        <f>'Balance Sheet'!D13</f>
        <v>1405.8</v>
      </c>
      <c r="E62" s="16">
        <f>'Balance Sheet'!E13</f>
        <v>2463.8000000000002</v>
      </c>
      <c r="F62" s="16">
        <f>'Balance Sheet'!F13</f>
        <v>1737.9</v>
      </c>
      <c r="G62" s="16">
        <f>'Balance Sheet'!G13</f>
        <v>2036.94</v>
      </c>
      <c r="I62" s="18"/>
      <c r="J62" s="19"/>
      <c r="K62" s="19"/>
      <c r="L62" s="20"/>
    </row>
    <row r="63" spans="2:12" ht="18.75" x14ac:dyDescent="0.25">
      <c r="B63" s="15" t="str">
        <f>'Balance Sheet'!B9</f>
        <v>Net Worth</v>
      </c>
      <c r="C63" s="16">
        <f>'Balance Sheet'!C9</f>
        <v>18840.400000000001</v>
      </c>
      <c r="D63" s="16">
        <f>'Balance Sheet'!D9</f>
        <v>21705.999999999993</v>
      </c>
      <c r="E63" s="16">
        <f>'Balance Sheet'!E9</f>
        <v>23326.799999999992</v>
      </c>
      <c r="F63" s="16">
        <f>'Balance Sheet'!F9</f>
        <v>25971.299999999992</v>
      </c>
      <c r="G63" s="16">
        <f>'Balance Sheet'!G9</f>
        <v>31603.19</v>
      </c>
      <c r="I63" s="21"/>
      <c r="J63" s="22"/>
      <c r="K63" s="22"/>
      <c r="L63" s="23"/>
    </row>
    <row r="64" spans="2:12" ht="19.5" thickBot="1" x14ac:dyDescent="0.3">
      <c r="B64" s="17" t="s">
        <v>167</v>
      </c>
      <c r="C64" s="17">
        <f>ROUND(C62/ C63, 2)</f>
        <v>0.09</v>
      </c>
      <c r="D64" s="17">
        <f t="shared" ref="D64:G64" si="13">ROUND(D62/ D63, 2)</f>
        <v>0.06</v>
      </c>
      <c r="E64" s="17">
        <f t="shared" si="13"/>
        <v>0.11</v>
      </c>
      <c r="F64" s="17">
        <f t="shared" si="13"/>
        <v>7.0000000000000007E-2</v>
      </c>
      <c r="G64" s="17">
        <f t="shared" si="13"/>
        <v>0.06</v>
      </c>
      <c r="I64" s="24"/>
      <c r="J64" s="25"/>
      <c r="K64" s="25"/>
      <c r="L64" s="26"/>
    </row>
    <row r="65" spans="2:12" ht="15.75" thickTop="1" x14ac:dyDescent="0.25"/>
    <row r="66" spans="2:12" ht="19.5" thickBot="1" x14ac:dyDescent="0.3">
      <c r="B66" s="14" t="s">
        <v>168</v>
      </c>
      <c r="C66" s="14"/>
      <c r="D66" s="14"/>
      <c r="E66" s="14"/>
      <c r="F66" s="14"/>
      <c r="G66" s="14"/>
    </row>
    <row r="67" spans="2:12" ht="19.5" thickTop="1" x14ac:dyDescent="0.25">
      <c r="B67" s="15" t="str">
        <f>'Balance Sheet'!B39</f>
        <v>Total Current Assets</v>
      </c>
      <c r="C67" s="16">
        <f>'Balance Sheet'!C39</f>
        <v>17884.2</v>
      </c>
      <c r="D67" s="16">
        <f>'Balance Sheet'!D39</f>
        <v>22904.199999999997</v>
      </c>
      <c r="E67" s="16">
        <f>'Balance Sheet'!E39</f>
        <v>28829.19999999999</v>
      </c>
      <c r="F67" s="16">
        <f>'Balance Sheet'!F39</f>
        <v>28220.399999999994</v>
      </c>
      <c r="G67" s="16">
        <f>'Balance Sheet'!G39</f>
        <v>43671.88</v>
      </c>
      <c r="I67" s="18"/>
      <c r="J67" s="19"/>
      <c r="K67" s="19"/>
      <c r="L67" s="20"/>
    </row>
    <row r="68" spans="2:12" ht="18.75" x14ac:dyDescent="0.25">
      <c r="B68" s="15" t="str">
        <f>'Balance Sheet'!B19</f>
        <v>Total Current Liabilities</v>
      </c>
      <c r="C68" s="16">
        <f>'Balance Sheet'!C19</f>
        <v>8123.2000000000007</v>
      </c>
      <c r="D68" s="16">
        <f>'Balance Sheet'!D19</f>
        <v>10048.6</v>
      </c>
      <c r="E68" s="16">
        <f>'Balance Sheet'!E19</f>
        <v>11453</v>
      </c>
      <c r="F68" s="16">
        <f>'Balance Sheet'!F19</f>
        <v>11465.2</v>
      </c>
      <c r="G68" s="16">
        <f>'Balance Sheet'!G19</f>
        <v>15452.7</v>
      </c>
      <c r="I68" s="21"/>
      <c r="J68" s="22"/>
      <c r="K68" s="22"/>
      <c r="L68" s="23"/>
    </row>
    <row r="69" spans="2:12" ht="19.5" thickBot="1" x14ac:dyDescent="0.3">
      <c r="B69" s="17" t="s">
        <v>169</v>
      </c>
      <c r="C69" s="17">
        <f>ROUND(C67/ C68, 2)</f>
        <v>2.2000000000000002</v>
      </c>
      <c r="D69" s="17">
        <f t="shared" ref="D69:G69" si="14">ROUND(D67/ D68, 2)</f>
        <v>2.2799999999999998</v>
      </c>
      <c r="E69" s="17">
        <f t="shared" si="14"/>
        <v>2.52</v>
      </c>
      <c r="F69" s="17">
        <f t="shared" si="14"/>
        <v>2.46</v>
      </c>
      <c r="G69" s="17">
        <f t="shared" si="14"/>
        <v>2.83</v>
      </c>
      <c r="I69" s="24"/>
      <c r="J69" s="25"/>
      <c r="K69" s="25"/>
      <c r="L69" s="26"/>
    </row>
    <row r="70" spans="2:12" ht="15.75" thickTop="1" x14ac:dyDescent="0.25"/>
    <row r="71" spans="2:12" ht="18.75" x14ac:dyDescent="0.25">
      <c r="B71" s="14" t="s">
        <v>170</v>
      </c>
      <c r="C71" s="14"/>
      <c r="D71" s="14"/>
      <c r="E71" s="14"/>
      <c r="F71" s="14"/>
      <c r="G71" s="14"/>
    </row>
    <row r="72" spans="2:12" ht="19.5" thickBot="1" x14ac:dyDescent="0.3">
      <c r="B72" s="15" t="str">
        <f>'Balance Sheet'!B39</f>
        <v>Total Current Assets</v>
      </c>
      <c r="C72" s="16">
        <f>'Balance Sheet'!C39</f>
        <v>17884.2</v>
      </c>
      <c r="D72" s="16">
        <f>'Balance Sheet'!D39</f>
        <v>22904.199999999997</v>
      </c>
      <c r="E72" s="16">
        <f>'Balance Sheet'!E39</f>
        <v>28829.19999999999</v>
      </c>
      <c r="F72" s="16">
        <f>'Balance Sheet'!F39</f>
        <v>28220.399999999994</v>
      </c>
      <c r="G72" s="16">
        <f>'Balance Sheet'!G39</f>
        <v>43671.88</v>
      </c>
    </row>
    <row r="73" spans="2:12" ht="19.5" thickTop="1" x14ac:dyDescent="0.25">
      <c r="B73" s="15" t="str">
        <f>'Balance Sheet'!B36</f>
        <v>Inventories</v>
      </c>
      <c r="C73" s="16">
        <f>'Balance Sheet'!C36</f>
        <v>65.900000000000006</v>
      </c>
      <c r="D73" s="16">
        <f>'Balance Sheet'!D36</f>
        <v>75.2</v>
      </c>
      <c r="E73" s="16">
        <f>'Balance Sheet'!E36</f>
        <v>35.799999999999997</v>
      </c>
      <c r="F73" s="16">
        <f>'Balance Sheet'!F36</f>
        <v>24.2</v>
      </c>
      <c r="G73" s="16">
        <f>'Balance Sheet'!G36</f>
        <v>40.5</v>
      </c>
      <c r="I73" s="18"/>
      <c r="J73" s="19"/>
      <c r="K73" s="19"/>
      <c r="L73" s="20"/>
    </row>
    <row r="74" spans="2:12" ht="18.75" x14ac:dyDescent="0.25">
      <c r="B74" s="15" t="str">
        <f>'Balance Sheet'!B19</f>
        <v>Total Current Liabilities</v>
      </c>
      <c r="C74" s="16">
        <f>'Balance Sheet'!C19</f>
        <v>8123.2000000000007</v>
      </c>
      <c r="D74" s="16">
        <f>'Balance Sheet'!D19</f>
        <v>10048.6</v>
      </c>
      <c r="E74" s="16">
        <f>'Balance Sheet'!E19</f>
        <v>11453</v>
      </c>
      <c r="F74" s="16">
        <f>'Balance Sheet'!F19</f>
        <v>11465.2</v>
      </c>
      <c r="G74" s="16">
        <f>'Balance Sheet'!G19</f>
        <v>15452.7</v>
      </c>
      <c r="I74" s="21"/>
      <c r="J74" s="22"/>
      <c r="K74" s="22"/>
      <c r="L74" s="23"/>
    </row>
    <row r="75" spans="2:12" ht="19.5" thickBot="1" x14ac:dyDescent="0.3">
      <c r="B75" s="17" t="s">
        <v>171</v>
      </c>
      <c r="C75" s="17">
        <f>ROUND((C72-C73)/ C74, 2)</f>
        <v>2.19</v>
      </c>
      <c r="D75" s="17">
        <f t="shared" ref="D75:G75" si="15">ROUND((D72-D73)/ D74, 2)</f>
        <v>2.27</v>
      </c>
      <c r="E75" s="17">
        <f t="shared" si="15"/>
        <v>2.5099999999999998</v>
      </c>
      <c r="F75" s="17">
        <f t="shared" si="15"/>
        <v>2.46</v>
      </c>
      <c r="G75" s="17">
        <f t="shared" si="15"/>
        <v>2.82</v>
      </c>
      <c r="I75" s="24"/>
      <c r="J75" s="25"/>
      <c r="K75" s="25"/>
      <c r="L75" s="26"/>
    </row>
    <row r="76" spans="2:12" ht="15.75" thickTop="1" x14ac:dyDescent="0.25"/>
    <row r="77" spans="2:12" ht="19.5" thickBot="1" x14ac:dyDescent="0.3">
      <c r="B77" s="14" t="s">
        <v>172</v>
      </c>
      <c r="C77" s="14"/>
      <c r="D77" s="14"/>
      <c r="E77" s="14"/>
      <c r="F77" s="14"/>
      <c r="G77" s="14"/>
    </row>
    <row r="78" spans="2:12" ht="19.5" thickTop="1" x14ac:dyDescent="0.25">
      <c r="B78" s="15" t="str">
        <f>'Income Statement'!B19</f>
        <v>PBIT</v>
      </c>
      <c r="C78" s="16">
        <f>'Income Statement'!C19</f>
        <v>5041.1000000000022</v>
      </c>
      <c r="D78" s="16">
        <f>'Income Statement'!D19</f>
        <v>5741.8999999999915</v>
      </c>
      <c r="E78" s="16">
        <f>'Income Statement'!E19</f>
        <v>5472.7</v>
      </c>
      <c r="F78" s="16">
        <f>'Income Statement'!F19</f>
        <v>6176.3999999999987</v>
      </c>
      <c r="G78" s="16">
        <f>'Income Statement'!G19</f>
        <v>7611.8800000000065</v>
      </c>
      <c r="I78" s="18"/>
      <c r="J78" s="19"/>
      <c r="K78" s="19"/>
      <c r="L78" s="20"/>
    </row>
    <row r="79" spans="2:12" ht="18.75" x14ac:dyDescent="0.25">
      <c r="B79" s="15" t="str">
        <f>'Income Statement'!B20</f>
        <v>Finance Costs</v>
      </c>
      <c r="C79" s="16">
        <f>'Income Statement'!C20</f>
        <v>162.4</v>
      </c>
      <c r="D79" s="16">
        <f>'Income Statement'!D20</f>
        <v>133.19999999999999</v>
      </c>
      <c r="E79" s="16">
        <f>'Income Statement'!E20</f>
        <v>191.9</v>
      </c>
      <c r="F79" s="16">
        <f>'Income Statement'!F20</f>
        <v>174</v>
      </c>
      <c r="G79" s="16">
        <f>'Income Statement'!G20</f>
        <v>162.6</v>
      </c>
      <c r="I79" s="21"/>
      <c r="J79" s="22"/>
      <c r="K79" s="22"/>
      <c r="L79" s="23"/>
    </row>
    <row r="80" spans="2:12" ht="19.5" thickBot="1" x14ac:dyDescent="0.3">
      <c r="B80" s="17" t="s">
        <v>173</v>
      </c>
      <c r="C80" s="17">
        <f>ROUND(C78/C79, 2)</f>
        <v>31.04</v>
      </c>
      <c r="D80" s="17">
        <f t="shared" ref="D80:G80" si="16">ROUND(D78/D79, 2)</f>
        <v>43.11</v>
      </c>
      <c r="E80" s="17">
        <f t="shared" si="16"/>
        <v>28.52</v>
      </c>
      <c r="F80" s="17">
        <f t="shared" si="16"/>
        <v>35.5</v>
      </c>
      <c r="G80" s="17">
        <f t="shared" si="16"/>
        <v>46.81</v>
      </c>
      <c r="I80" s="24"/>
      <c r="J80" s="25"/>
      <c r="K80" s="25"/>
      <c r="L80" s="26"/>
    </row>
    <row r="81" spans="2:12" ht="15.75" thickTop="1" x14ac:dyDescent="0.25"/>
    <row r="82" spans="2:12" ht="19.5" thickBot="1" x14ac:dyDescent="0.3">
      <c r="B82" s="14" t="s">
        <v>174</v>
      </c>
      <c r="C82" s="14"/>
      <c r="D82" s="14"/>
      <c r="E82" s="14"/>
      <c r="F82" s="14"/>
      <c r="G82" s="14"/>
    </row>
    <row r="83" spans="2:12" ht="19.5" thickTop="1" x14ac:dyDescent="0.25">
      <c r="B83" s="15" t="str">
        <f>'Income Statement'!B11</f>
        <v>Cost Of Materials Consumed</v>
      </c>
      <c r="C83" s="16">
        <f>'Income Statement'!C11</f>
        <v>0</v>
      </c>
      <c r="D83" s="16">
        <f>'Income Statement'!D11</f>
        <v>0</v>
      </c>
      <c r="E83" s="16">
        <f>'Income Statement'!E11</f>
        <v>0</v>
      </c>
      <c r="F83" s="16">
        <f>'Income Statement'!F11</f>
        <v>0</v>
      </c>
      <c r="G83" s="16">
        <f>'Income Statement'!G11</f>
        <v>0</v>
      </c>
      <c r="I83" s="18"/>
      <c r="J83" s="19"/>
      <c r="K83" s="19"/>
      <c r="L83" s="20"/>
    </row>
    <row r="84" spans="2:12" ht="18.75" x14ac:dyDescent="0.25">
      <c r="B84" s="15" t="str">
        <f>'Income Statement'!B7</f>
        <v>Net Sales</v>
      </c>
      <c r="C84" s="16">
        <f>'Income Statement'!C7</f>
        <v>30772.9</v>
      </c>
      <c r="D84" s="16">
        <f>'Income Statement'!D7</f>
        <v>34742.1</v>
      </c>
      <c r="E84" s="16">
        <f>'Income Statement'!E7</f>
        <v>36867.699999999997</v>
      </c>
      <c r="F84" s="16">
        <f>'Income Statement'!F7</f>
        <v>37855.1</v>
      </c>
      <c r="G84" s="16">
        <f>'Income Statement'!G7</f>
        <v>44645.98</v>
      </c>
      <c r="I84" s="21"/>
      <c r="J84" s="22"/>
      <c r="K84" s="22"/>
      <c r="L84" s="23"/>
    </row>
    <row r="85" spans="2:12" ht="19.5" thickBot="1" x14ac:dyDescent="0.3">
      <c r="B85" s="17" t="s">
        <v>175</v>
      </c>
      <c r="C85" s="17">
        <f>ROUND(C83/C84, 2)</f>
        <v>0</v>
      </c>
      <c r="D85" s="17">
        <f t="shared" ref="D85:G85" si="17">ROUND(D83/D84, 2)</f>
        <v>0</v>
      </c>
      <c r="E85" s="17">
        <f t="shared" si="17"/>
        <v>0</v>
      </c>
      <c r="F85" s="17">
        <f t="shared" si="17"/>
        <v>0</v>
      </c>
      <c r="G85" s="17">
        <f t="shared" si="17"/>
        <v>0</v>
      </c>
      <c r="I85" s="24"/>
      <c r="J85" s="25"/>
      <c r="K85" s="25"/>
      <c r="L85" s="26"/>
    </row>
    <row r="86" spans="2:12" ht="15.75" thickTop="1" x14ac:dyDescent="0.25"/>
    <row r="87" spans="2:12" ht="19.5" thickBot="1" x14ac:dyDescent="0.3">
      <c r="B87" s="14" t="s">
        <v>176</v>
      </c>
      <c r="C87" s="14"/>
      <c r="D87" s="14"/>
      <c r="E87" s="14"/>
      <c r="F87" s="14"/>
      <c r="G87" s="14"/>
    </row>
    <row r="88" spans="2:12" ht="19.5" thickTop="1" x14ac:dyDescent="0.25">
      <c r="B88" s="15" t="str">
        <f>'Balance Sheet'!B38</f>
        <v>Cash And Cash Equivalents</v>
      </c>
      <c r="C88" s="16">
        <f>'Balance Sheet'!C38</f>
        <v>3044.3</v>
      </c>
      <c r="D88" s="16">
        <f>'Balance Sheet'!D38</f>
        <v>6495.3999999999924</v>
      </c>
      <c r="E88" s="16">
        <f>'Balance Sheet'!E38</f>
        <v>9394.3999999999905</v>
      </c>
      <c r="F88" s="16">
        <f>'Balance Sheet'!F38</f>
        <v>10751.999999999991</v>
      </c>
      <c r="G88" s="16">
        <f>'Balance Sheet'!G38</f>
        <v>21670.92</v>
      </c>
      <c r="I88" s="18"/>
      <c r="J88" s="19"/>
      <c r="K88" s="19"/>
      <c r="L88" s="20"/>
    </row>
    <row r="89" spans="2:12" ht="18.75" x14ac:dyDescent="0.25">
      <c r="B89" s="15" t="str">
        <f>'Income Statement'!B11</f>
        <v>Cost Of Materials Consumed</v>
      </c>
      <c r="C89" s="16">
        <f>'Income Statement'!C11</f>
        <v>0</v>
      </c>
      <c r="D89" s="16">
        <f>'Income Statement'!D11</f>
        <v>0</v>
      </c>
      <c r="E89" s="16">
        <f>'Income Statement'!E11</f>
        <v>0</v>
      </c>
      <c r="F89" s="16">
        <f>'Income Statement'!F11</f>
        <v>0</v>
      </c>
      <c r="G89" s="16">
        <f>'Income Statement'!G11</f>
        <v>0</v>
      </c>
      <c r="I89" s="21"/>
      <c r="J89" s="22"/>
      <c r="K89" s="22"/>
      <c r="L89" s="23"/>
    </row>
    <row r="90" spans="2:12" ht="19.5" thickBot="1" x14ac:dyDescent="0.3">
      <c r="B90" s="17" t="s">
        <v>177</v>
      </c>
      <c r="C90" s="17" t="e">
        <f>ROUND(C88/C89*365, 2)</f>
        <v>#DIV/0!</v>
      </c>
      <c r="D90" s="17" t="e">
        <f t="shared" ref="D90:G90" si="18">ROUND(D88/D89*365, 2)</f>
        <v>#DIV/0!</v>
      </c>
      <c r="E90" s="17" t="e">
        <f t="shared" si="18"/>
        <v>#DIV/0!</v>
      </c>
      <c r="F90" s="17" t="e">
        <f t="shared" si="18"/>
        <v>#DIV/0!</v>
      </c>
      <c r="G90" s="17" t="e">
        <f t="shared" si="18"/>
        <v>#DIV/0!</v>
      </c>
      <c r="I90" s="24"/>
      <c r="J90" s="25"/>
      <c r="K90" s="25"/>
      <c r="L90" s="26"/>
    </row>
    <row r="91" spans="2:12" ht="15.75" thickTop="1" x14ac:dyDescent="0.25"/>
    <row r="92" spans="2:12" ht="19.5" thickBot="1" x14ac:dyDescent="0.3">
      <c r="B92" s="14" t="s">
        <v>178</v>
      </c>
      <c r="C92" s="14"/>
      <c r="D92" s="14"/>
      <c r="E92" s="14"/>
      <c r="F92" s="14"/>
      <c r="G92" s="14"/>
    </row>
    <row r="93" spans="2:12" ht="19.5" thickTop="1" x14ac:dyDescent="0.25">
      <c r="B93" s="15" t="str">
        <f>'Balance Sheet'!B38</f>
        <v>Cash And Cash Equivalents</v>
      </c>
      <c r="C93" s="16">
        <f>'Balance Sheet'!C38</f>
        <v>3044.3</v>
      </c>
      <c r="D93" s="16">
        <f>'Balance Sheet'!D38</f>
        <v>6495.3999999999924</v>
      </c>
      <c r="E93" s="16">
        <f>'Balance Sheet'!E38</f>
        <v>9394.3999999999905</v>
      </c>
      <c r="F93" s="16">
        <f>'Balance Sheet'!F38</f>
        <v>10751.999999999991</v>
      </c>
      <c r="G93" s="16">
        <f>'Balance Sheet'!G38</f>
        <v>21670.92</v>
      </c>
      <c r="I93" s="18"/>
      <c r="J93" s="19"/>
      <c r="K93" s="19"/>
      <c r="L93" s="20"/>
    </row>
    <row r="94" spans="2:12" ht="18.75" x14ac:dyDescent="0.25">
      <c r="B94" s="15" t="s">
        <v>179</v>
      </c>
      <c r="C94" s="16">
        <v>365</v>
      </c>
      <c r="D94" s="16">
        <v>365</v>
      </c>
      <c r="E94" s="16">
        <v>365</v>
      </c>
      <c r="F94" s="16">
        <v>365</v>
      </c>
      <c r="G94" s="16">
        <v>365</v>
      </c>
      <c r="I94" s="21"/>
      <c r="J94" s="22"/>
      <c r="K94" s="22"/>
      <c r="L94" s="23"/>
    </row>
    <row r="95" spans="2:12" ht="19.5" thickBot="1" x14ac:dyDescent="0.3">
      <c r="B95" s="17" t="s">
        <v>180</v>
      </c>
      <c r="C95" s="17">
        <f>ROUND(C93/C94*365, 2)</f>
        <v>3044.3</v>
      </c>
      <c r="D95" s="17">
        <f t="shared" ref="D95:G95" si="19">ROUND(D93/D94*365, 2)</f>
        <v>6495.4</v>
      </c>
      <c r="E95" s="17">
        <f t="shared" si="19"/>
        <v>9394.4</v>
      </c>
      <c r="F95" s="17">
        <f t="shared" si="19"/>
        <v>10752</v>
      </c>
      <c r="G95" s="17">
        <f t="shared" si="19"/>
        <v>21670.92</v>
      </c>
      <c r="I95" s="24"/>
      <c r="J95" s="25"/>
      <c r="K95" s="25"/>
      <c r="L95" s="26"/>
    </row>
    <row r="96" spans="2:12" ht="15.75" thickTop="1" x14ac:dyDescent="0.25"/>
    <row r="97" spans="2:12" ht="19.5" thickBot="1" x14ac:dyDescent="0.3">
      <c r="B97" s="14" t="s">
        <v>181</v>
      </c>
      <c r="C97" s="14"/>
      <c r="D97" s="14"/>
      <c r="E97" s="14"/>
      <c r="F97" s="14"/>
      <c r="G97" s="14"/>
    </row>
    <row r="98" spans="2:12" ht="19.5" thickTop="1" x14ac:dyDescent="0.25">
      <c r="B98" s="15" t="str">
        <f>'Income Statement'!B5</f>
        <v>Gross Sales</v>
      </c>
      <c r="C98" s="16">
        <f>'Income Statement'!C5</f>
        <v>30772.9</v>
      </c>
      <c r="D98" s="16">
        <f>'Income Statement'!D5</f>
        <v>34742.1</v>
      </c>
      <c r="E98" s="16">
        <f>'Income Statement'!E5</f>
        <v>36867.699999999997</v>
      </c>
      <c r="F98" s="16">
        <f>'Income Statement'!F5</f>
        <v>37855.1</v>
      </c>
      <c r="G98" s="16">
        <f>'Income Statement'!G5</f>
        <v>44645.98</v>
      </c>
      <c r="I98" s="18"/>
      <c r="J98" s="19"/>
      <c r="K98" s="19"/>
      <c r="L98" s="20"/>
    </row>
    <row r="99" spans="2:12" ht="18.75" x14ac:dyDescent="0.25">
      <c r="B99" s="15" t="str">
        <f>'Balance Sheet'!B40</f>
        <v>Total Assets</v>
      </c>
      <c r="C99" s="16">
        <f>'Balance Sheet'!C40</f>
        <v>29204.5</v>
      </c>
      <c r="D99" s="16">
        <f>'Balance Sheet'!D40</f>
        <v>33638.099999999991</v>
      </c>
      <c r="E99" s="16">
        <f>'Balance Sheet'!E40</f>
        <v>37636.899999999994</v>
      </c>
      <c r="F99" s="16">
        <f>'Balance Sheet'!F40</f>
        <v>39553.899999999994</v>
      </c>
      <c r="G99" s="16">
        <f>'Balance Sheet'!G40</f>
        <v>49588.229999999996</v>
      </c>
      <c r="I99" s="21"/>
      <c r="J99" s="22"/>
      <c r="K99" s="22"/>
      <c r="L99" s="23"/>
    </row>
    <row r="100" spans="2:12" ht="19.5" thickBot="1" x14ac:dyDescent="0.3">
      <c r="B100" s="17" t="s">
        <v>182</v>
      </c>
      <c r="C100" s="17">
        <f>ROUND(C98/C99, 2)</f>
        <v>1.05</v>
      </c>
      <c r="D100" s="17">
        <f t="shared" ref="D100:G100" si="20">ROUND(D98/D99, 2)</f>
        <v>1.03</v>
      </c>
      <c r="E100" s="17">
        <f t="shared" si="20"/>
        <v>0.98</v>
      </c>
      <c r="F100" s="17">
        <f t="shared" si="20"/>
        <v>0.96</v>
      </c>
      <c r="G100" s="17">
        <f t="shared" si="20"/>
        <v>0.9</v>
      </c>
      <c r="I100" s="24"/>
      <c r="J100" s="25"/>
      <c r="K100" s="25"/>
      <c r="L100" s="26"/>
    </row>
    <row r="101" spans="2:12" ht="15.75" thickTop="1" x14ac:dyDescent="0.25"/>
    <row r="102" spans="2:12" ht="19.5" thickBot="1" x14ac:dyDescent="0.3">
      <c r="B102" s="14" t="s">
        <v>183</v>
      </c>
      <c r="C102" s="14"/>
      <c r="D102" s="14"/>
      <c r="E102" s="14"/>
      <c r="F102" s="14"/>
      <c r="G102" s="14"/>
    </row>
    <row r="103" spans="2:12" ht="19.5" thickTop="1" x14ac:dyDescent="0.25">
      <c r="B103" s="15" t="str">
        <f>'Income Statement'!B5</f>
        <v>Gross Sales</v>
      </c>
      <c r="C103" s="16">
        <f>'Income Statement'!C5</f>
        <v>30772.9</v>
      </c>
      <c r="D103" s="16">
        <f>'Income Statement'!D5</f>
        <v>34742.1</v>
      </c>
      <c r="E103" s="16">
        <f>'Income Statement'!E5</f>
        <v>36867.699999999997</v>
      </c>
      <c r="F103" s="16">
        <f>'Income Statement'!F5</f>
        <v>37855.1</v>
      </c>
      <c r="G103" s="16">
        <f>'Income Statement'!G5</f>
        <v>44645.98</v>
      </c>
      <c r="I103" s="18"/>
      <c r="J103" s="19"/>
      <c r="K103" s="19"/>
      <c r="L103" s="20"/>
    </row>
    <row r="104" spans="2:12" ht="18.75" x14ac:dyDescent="0.25">
      <c r="B104" s="15" t="str">
        <f>'Balance Sheet'!B36</f>
        <v>Inventories</v>
      </c>
      <c r="C104" s="16">
        <f>'Balance Sheet'!C36</f>
        <v>65.900000000000006</v>
      </c>
      <c r="D104" s="16">
        <f>'Balance Sheet'!D36</f>
        <v>75.2</v>
      </c>
      <c r="E104" s="16">
        <f>'Balance Sheet'!E36</f>
        <v>35.799999999999997</v>
      </c>
      <c r="F104" s="16">
        <f>'Balance Sheet'!F36</f>
        <v>24.2</v>
      </c>
      <c r="G104" s="16">
        <f>'Balance Sheet'!G36</f>
        <v>40.5</v>
      </c>
      <c r="I104" s="21"/>
      <c r="J104" s="22"/>
      <c r="K104" s="22"/>
      <c r="L104" s="23"/>
    </row>
    <row r="105" spans="2:12" ht="19.5" thickBot="1" x14ac:dyDescent="0.3">
      <c r="B105" s="17" t="s">
        <v>184</v>
      </c>
      <c r="C105" s="17">
        <f>ROUND(C103/C104, 2)</f>
        <v>466.96</v>
      </c>
      <c r="D105" s="17">
        <f t="shared" ref="D105:G105" si="21">ROUND(D103/D104, 2)</f>
        <v>462</v>
      </c>
      <c r="E105" s="17">
        <f t="shared" si="21"/>
        <v>1029.82</v>
      </c>
      <c r="F105" s="17">
        <f t="shared" si="21"/>
        <v>1564.26</v>
      </c>
      <c r="G105" s="17">
        <f t="shared" si="21"/>
        <v>1102.3699999999999</v>
      </c>
      <c r="I105" s="24"/>
      <c r="J105" s="25"/>
      <c r="K105" s="25"/>
      <c r="L105" s="26"/>
    </row>
    <row r="106" spans="2:12" ht="15.75" thickTop="1" x14ac:dyDescent="0.25"/>
    <row r="107" spans="2:12" ht="19.5" thickBot="1" x14ac:dyDescent="0.3">
      <c r="B107" s="14" t="s">
        <v>185</v>
      </c>
      <c r="C107" s="14"/>
      <c r="D107" s="14"/>
      <c r="E107" s="14"/>
      <c r="F107" s="14"/>
      <c r="G107" s="14"/>
    </row>
    <row r="108" spans="2:12" ht="19.5" thickTop="1" x14ac:dyDescent="0.25">
      <c r="B108" s="15" t="str">
        <f>'Income Statement'!B5</f>
        <v>Gross Sales</v>
      </c>
      <c r="C108" s="16">
        <f>'Income Statement'!C5</f>
        <v>30772.9</v>
      </c>
      <c r="D108" s="16">
        <f>'Income Statement'!D5</f>
        <v>34742.1</v>
      </c>
      <c r="E108" s="16">
        <f>'Income Statement'!E5</f>
        <v>36867.699999999997</v>
      </c>
      <c r="F108" s="16">
        <f>'Income Statement'!F5</f>
        <v>37855.1</v>
      </c>
      <c r="G108" s="16">
        <f>'Income Statement'!G5</f>
        <v>44645.98</v>
      </c>
      <c r="I108" s="18"/>
      <c r="J108" s="19"/>
      <c r="K108" s="19"/>
      <c r="L108" s="20"/>
    </row>
    <row r="109" spans="2:12" ht="18.75" x14ac:dyDescent="0.25">
      <c r="B109" s="15" t="str">
        <f>'Balance Sheet'!B37</f>
        <v>Trade Receivables</v>
      </c>
      <c r="C109" s="16">
        <f>'Balance Sheet'!C37</f>
        <v>6497.9</v>
      </c>
      <c r="D109" s="16">
        <f>'Balance Sheet'!D37</f>
        <v>6958.6</v>
      </c>
      <c r="E109" s="16">
        <f>'Balance Sheet'!E37</f>
        <v>7577.2</v>
      </c>
      <c r="F109" s="16">
        <f>'Balance Sheet'!F37</f>
        <v>6472.8</v>
      </c>
      <c r="G109" s="16">
        <f>'Balance Sheet'!G37</f>
        <v>11933.4</v>
      </c>
      <c r="I109" s="21"/>
      <c r="J109" s="22"/>
      <c r="K109" s="22"/>
      <c r="L109" s="23"/>
    </row>
    <row r="110" spans="2:12" ht="19.5" thickBot="1" x14ac:dyDescent="0.3">
      <c r="B110" s="17" t="s">
        <v>186</v>
      </c>
      <c r="C110" s="17">
        <f>ROUND(C108/C109, 2)</f>
        <v>4.74</v>
      </c>
      <c r="D110" s="17">
        <f t="shared" ref="D110:G110" si="22">ROUND(D108/D109, 2)</f>
        <v>4.99</v>
      </c>
      <c r="E110" s="17">
        <f t="shared" si="22"/>
        <v>4.87</v>
      </c>
      <c r="F110" s="17">
        <f t="shared" si="22"/>
        <v>5.85</v>
      </c>
      <c r="G110" s="17">
        <f t="shared" si="22"/>
        <v>3.74</v>
      </c>
      <c r="I110" s="24"/>
      <c r="J110" s="25"/>
      <c r="K110" s="25"/>
      <c r="L110" s="26"/>
    </row>
    <row r="111" spans="2:12" ht="15.75" thickTop="1" x14ac:dyDescent="0.25"/>
    <row r="112" spans="2:12" ht="19.5" thickBot="1" x14ac:dyDescent="0.3">
      <c r="B112" s="14" t="s">
        <v>187</v>
      </c>
      <c r="C112" s="14"/>
      <c r="D112" s="14"/>
      <c r="E112" s="14"/>
      <c r="F112" s="14"/>
      <c r="G112" s="14"/>
    </row>
    <row r="113" spans="2:12" ht="19.5" thickTop="1" x14ac:dyDescent="0.25">
      <c r="B113" s="15" t="str">
        <f>'Income Statement'!B5</f>
        <v>Gross Sales</v>
      </c>
      <c r="C113" s="16">
        <f>'Income Statement'!C5</f>
        <v>30772.9</v>
      </c>
      <c r="D113" s="16">
        <f>'Income Statement'!D5</f>
        <v>34742.1</v>
      </c>
      <c r="E113" s="16">
        <f>'Income Statement'!E5</f>
        <v>36867.699999999997</v>
      </c>
      <c r="F113" s="16">
        <f>'Income Statement'!F5</f>
        <v>37855.1</v>
      </c>
      <c r="G113" s="16">
        <f>'Income Statement'!G5</f>
        <v>44645.98</v>
      </c>
      <c r="I113" s="18"/>
      <c r="J113" s="19"/>
      <c r="K113" s="19"/>
      <c r="L113" s="20"/>
    </row>
    <row r="114" spans="2:12" ht="18.75" x14ac:dyDescent="0.25">
      <c r="B114" s="15" t="str">
        <f>'Balance Sheet'!B23</f>
        <v>Tangible Assets</v>
      </c>
      <c r="C114" s="16">
        <f>'Balance Sheet'!C23</f>
        <v>3171.6</v>
      </c>
      <c r="D114" s="16">
        <f>'Balance Sheet'!D23</f>
        <v>2793.7</v>
      </c>
      <c r="E114" s="16">
        <f>'Balance Sheet'!E23</f>
        <v>3978.3</v>
      </c>
      <c r="F114" s="16">
        <f>'Balance Sheet'!F23</f>
        <v>3559.5</v>
      </c>
      <c r="G114" s="16">
        <f>'Balance Sheet'!G23</f>
        <v>6585.7</v>
      </c>
      <c r="I114" s="21"/>
      <c r="J114" s="22"/>
      <c r="K114" s="22"/>
      <c r="L114" s="23"/>
    </row>
    <row r="115" spans="2:12" ht="19.5" thickBot="1" x14ac:dyDescent="0.3">
      <c r="B115" s="17" t="s">
        <v>188</v>
      </c>
      <c r="C115" s="17">
        <f>ROUND(C113/C114, 2)</f>
        <v>9.6999999999999993</v>
      </c>
      <c r="D115" s="17">
        <f t="shared" ref="D115:G115" si="23">ROUND(D113/D114, 2)</f>
        <v>12.44</v>
      </c>
      <c r="E115" s="17">
        <f t="shared" si="23"/>
        <v>9.27</v>
      </c>
      <c r="F115" s="17">
        <f t="shared" si="23"/>
        <v>10.63</v>
      </c>
      <c r="G115" s="17">
        <f t="shared" si="23"/>
        <v>6.78</v>
      </c>
      <c r="I115" s="24"/>
      <c r="J115" s="25"/>
      <c r="K115" s="25"/>
      <c r="L115" s="26"/>
    </row>
    <row r="116" spans="2:12" ht="15.75" thickTop="1" x14ac:dyDescent="0.25"/>
    <row r="117" spans="2:12" ht="19.5" thickBot="1" x14ac:dyDescent="0.3">
      <c r="B117" s="14" t="s">
        <v>189</v>
      </c>
      <c r="C117" s="14"/>
      <c r="D117" s="14"/>
      <c r="E117" s="14"/>
      <c r="F117" s="14"/>
      <c r="G117" s="14"/>
    </row>
    <row r="118" spans="2:12" ht="19.5" thickTop="1" x14ac:dyDescent="0.25">
      <c r="B118" s="15" t="str">
        <f>'Income Statement'!B11</f>
        <v>Cost Of Materials Consumed</v>
      </c>
      <c r="C118" s="16">
        <f>'Income Statement'!C11</f>
        <v>0</v>
      </c>
      <c r="D118" s="16">
        <f>'Income Statement'!D11</f>
        <v>0</v>
      </c>
      <c r="E118" s="16">
        <f>'Income Statement'!E11</f>
        <v>0</v>
      </c>
      <c r="F118" s="16">
        <f>'Income Statement'!F11</f>
        <v>0</v>
      </c>
      <c r="G118" s="16">
        <f>'Income Statement'!G11</f>
        <v>0</v>
      </c>
      <c r="I118" s="18"/>
      <c r="J118" s="19"/>
      <c r="K118" s="19"/>
      <c r="L118" s="20"/>
    </row>
    <row r="119" spans="2:12" ht="18.75" x14ac:dyDescent="0.25">
      <c r="B119" s="15" t="str">
        <f>'Balance Sheet'!B19</f>
        <v>Total Current Liabilities</v>
      </c>
      <c r="C119" s="16">
        <f>'Balance Sheet'!C19</f>
        <v>8123.2000000000007</v>
      </c>
      <c r="D119" s="16">
        <f>'Balance Sheet'!D19</f>
        <v>10048.6</v>
      </c>
      <c r="E119" s="16">
        <f>'Balance Sheet'!E19</f>
        <v>11453</v>
      </c>
      <c r="F119" s="16">
        <f>'Balance Sheet'!F19</f>
        <v>11465.2</v>
      </c>
      <c r="G119" s="16">
        <f>'Balance Sheet'!G19</f>
        <v>15452.7</v>
      </c>
      <c r="I119" s="21"/>
      <c r="J119" s="22"/>
      <c r="K119" s="22"/>
      <c r="L119" s="23"/>
    </row>
    <row r="120" spans="2:12" ht="19.5" thickBot="1" x14ac:dyDescent="0.3">
      <c r="B120" s="17" t="s">
        <v>190</v>
      </c>
      <c r="C120" s="17">
        <f>ROUND(C118/C119, 2)</f>
        <v>0</v>
      </c>
      <c r="D120" s="17">
        <f t="shared" ref="D120:G120" si="24">ROUND(D118/D119, 2)</f>
        <v>0</v>
      </c>
      <c r="E120" s="17">
        <f t="shared" si="24"/>
        <v>0</v>
      </c>
      <c r="F120" s="17">
        <f t="shared" si="24"/>
        <v>0</v>
      </c>
      <c r="G120" s="17">
        <f t="shared" si="24"/>
        <v>0</v>
      </c>
      <c r="I120" s="24"/>
      <c r="J120" s="25"/>
      <c r="K120" s="25"/>
      <c r="L120" s="26"/>
    </row>
    <row r="121" spans="2:12" ht="15.75" thickTop="1" x14ac:dyDescent="0.25"/>
    <row r="122" spans="2:12" ht="19.5" thickBot="1" x14ac:dyDescent="0.3">
      <c r="B122" s="14" t="s">
        <v>191</v>
      </c>
      <c r="C122" s="14"/>
      <c r="D122" s="14"/>
      <c r="E122" s="14"/>
      <c r="F122" s="14"/>
      <c r="G122" s="14"/>
    </row>
    <row r="123" spans="2:12" ht="19.5" thickTop="1" x14ac:dyDescent="0.25">
      <c r="B123" s="15" t="str">
        <f>'Income Statement'!B5</f>
        <v>Gross Sales</v>
      </c>
      <c r="C123" s="16">
        <f>'Income Statement'!C5</f>
        <v>30772.9</v>
      </c>
      <c r="D123" s="16">
        <f>'Income Statement'!D5</f>
        <v>34742.1</v>
      </c>
      <c r="E123" s="16">
        <f>'Income Statement'!E5</f>
        <v>36867.699999999997</v>
      </c>
      <c r="F123" s="16">
        <f>'Income Statement'!F5</f>
        <v>37855.1</v>
      </c>
      <c r="G123" s="16">
        <f>'Income Statement'!G5</f>
        <v>44645.98</v>
      </c>
      <c r="I123" s="18"/>
      <c r="J123" s="19"/>
      <c r="K123" s="19"/>
      <c r="L123" s="20"/>
    </row>
    <row r="124" spans="2:12" ht="18.75" x14ac:dyDescent="0.25">
      <c r="B124" s="15" t="str">
        <f>'Balance Sheet'!B36</f>
        <v>Inventories</v>
      </c>
      <c r="C124" s="16">
        <f>'Balance Sheet'!C36</f>
        <v>65.900000000000006</v>
      </c>
      <c r="D124" s="16">
        <f>'Balance Sheet'!D36</f>
        <v>75.2</v>
      </c>
      <c r="E124" s="16">
        <f>'Balance Sheet'!E36</f>
        <v>35.799999999999997</v>
      </c>
      <c r="F124" s="16">
        <f>'Balance Sheet'!F36</f>
        <v>24.2</v>
      </c>
      <c r="G124" s="16">
        <f>'Balance Sheet'!G36</f>
        <v>40.5</v>
      </c>
      <c r="I124" s="21"/>
      <c r="J124" s="22"/>
      <c r="K124" s="22"/>
      <c r="L124" s="23"/>
    </row>
    <row r="125" spans="2:12" ht="19.5" thickBot="1" x14ac:dyDescent="0.3">
      <c r="B125" s="17" t="s">
        <v>192</v>
      </c>
      <c r="C125" s="17">
        <f>ROUND(365/C123*C124, 2)</f>
        <v>0.78</v>
      </c>
      <c r="D125" s="17">
        <f t="shared" ref="D125:G125" si="25">ROUND(365/D123*D124, 2)</f>
        <v>0.79</v>
      </c>
      <c r="E125" s="17">
        <f t="shared" si="25"/>
        <v>0.35</v>
      </c>
      <c r="F125" s="17">
        <f t="shared" si="25"/>
        <v>0.23</v>
      </c>
      <c r="G125" s="17">
        <f t="shared" si="25"/>
        <v>0.33</v>
      </c>
      <c r="I125" s="24"/>
      <c r="J125" s="25"/>
      <c r="K125" s="25"/>
      <c r="L125" s="26"/>
    </row>
    <row r="126" spans="2:12" ht="15.75" thickTop="1" x14ac:dyDescent="0.25"/>
    <row r="127" spans="2:12" ht="19.5" thickBot="1" x14ac:dyDescent="0.3">
      <c r="B127" s="14" t="s">
        <v>193</v>
      </c>
      <c r="C127" s="14"/>
      <c r="D127" s="14"/>
      <c r="E127" s="14"/>
      <c r="F127" s="14"/>
      <c r="G127" s="14"/>
    </row>
    <row r="128" spans="2:12" ht="19.5" thickTop="1" x14ac:dyDescent="0.25">
      <c r="B128" s="15" t="str">
        <f>'Income Statement'!B11</f>
        <v>Cost Of Materials Consumed</v>
      </c>
      <c r="C128" s="16">
        <f>'Income Statement'!C11</f>
        <v>0</v>
      </c>
      <c r="D128" s="16">
        <f>'Income Statement'!D11</f>
        <v>0</v>
      </c>
      <c r="E128" s="16">
        <f>'Income Statement'!E11</f>
        <v>0</v>
      </c>
      <c r="F128" s="16">
        <f>'Income Statement'!F11</f>
        <v>0</v>
      </c>
      <c r="G128" s="16">
        <f>'Income Statement'!G11</f>
        <v>0</v>
      </c>
      <c r="I128" s="18"/>
      <c r="J128" s="19"/>
      <c r="K128" s="19"/>
      <c r="L128" s="20"/>
    </row>
    <row r="129" spans="2:12" ht="18.75" x14ac:dyDescent="0.25">
      <c r="B129" s="15" t="str">
        <f>'Balance Sheet'!B19</f>
        <v>Total Current Liabilities</v>
      </c>
      <c r="C129" s="16">
        <f>'Balance Sheet'!C19</f>
        <v>8123.2000000000007</v>
      </c>
      <c r="D129" s="16">
        <f>'Balance Sheet'!D19</f>
        <v>10048.6</v>
      </c>
      <c r="E129" s="16">
        <f>'Balance Sheet'!E19</f>
        <v>11453</v>
      </c>
      <c r="F129" s="16">
        <f>'Balance Sheet'!F19</f>
        <v>11465.2</v>
      </c>
      <c r="G129" s="16">
        <f>'Balance Sheet'!G19</f>
        <v>15452.7</v>
      </c>
      <c r="I129" s="21"/>
      <c r="J129" s="22"/>
      <c r="K129" s="22"/>
      <c r="L129" s="23"/>
    </row>
    <row r="130" spans="2:12" ht="19.5" thickBot="1" x14ac:dyDescent="0.3">
      <c r="B130" s="17" t="s">
        <v>194</v>
      </c>
      <c r="C130" s="17" t="e">
        <f>ROUND(365/C128*C129, 2)</f>
        <v>#DIV/0!</v>
      </c>
      <c r="D130" s="17" t="e">
        <f t="shared" ref="D130:G130" si="26">ROUND(365/D128*D129, 2)</f>
        <v>#DIV/0!</v>
      </c>
      <c r="E130" s="17" t="e">
        <f t="shared" si="26"/>
        <v>#DIV/0!</v>
      </c>
      <c r="F130" s="17" t="e">
        <f t="shared" si="26"/>
        <v>#DIV/0!</v>
      </c>
      <c r="G130" s="17" t="e">
        <f t="shared" si="26"/>
        <v>#DIV/0!</v>
      </c>
      <c r="I130" s="24"/>
      <c r="J130" s="25"/>
      <c r="K130" s="25"/>
      <c r="L130" s="26"/>
    </row>
    <row r="131" spans="2:12" ht="15.75" thickTop="1" x14ac:dyDescent="0.25"/>
    <row r="132" spans="2:12" ht="19.5" thickBot="1" x14ac:dyDescent="0.3">
      <c r="B132" s="14" t="s">
        <v>195</v>
      </c>
      <c r="C132" s="14"/>
      <c r="D132" s="14"/>
      <c r="E132" s="14"/>
      <c r="F132" s="14"/>
      <c r="G132" s="14"/>
    </row>
    <row r="133" spans="2:12" ht="19.5" thickTop="1" x14ac:dyDescent="0.25">
      <c r="B133" s="15" t="str">
        <f>'Income Statement'!B5</f>
        <v>Gross Sales</v>
      </c>
      <c r="C133" s="16">
        <f>'Income Statement'!C5</f>
        <v>30772.9</v>
      </c>
      <c r="D133" s="16">
        <f>'Income Statement'!D5</f>
        <v>34742.1</v>
      </c>
      <c r="E133" s="16">
        <f>'Income Statement'!E5</f>
        <v>36867.699999999997</v>
      </c>
      <c r="F133" s="16">
        <f>'Income Statement'!F5</f>
        <v>37855.1</v>
      </c>
      <c r="G133" s="16">
        <f>'Income Statement'!G5</f>
        <v>44645.98</v>
      </c>
      <c r="I133" s="18"/>
      <c r="J133" s="19"/>
      <c r="K133" s="19"/>
      <c r="L133" s="20"/>
    </row>
    <row r="134" spans="2:12" ht="18.75" x14ac:dyDescent="0.25">
      <c r="B134" s="15" t="str">
        <f>'Balance Sheet'!B37</f>
        <v>Trade Receivables</v>
      </c>
      <c r="C134" s="16">
        <f>'Balance Sheet'!C37</f>
        <v>6497.9</v>
      </c>
      <c r="D134" s="16">
        <f>'Balance Sheet'!D37</f>
        <v>6958.6</v>
      </c>
      <c r="E134" s="16">
        <f>'Balance Sheet'!E37</f>
        <v>7577.2</v>
      </c>
      <c r="F134" s="16">
        <f>'Balance Sheet'!F37</f>
        <v>6472.8</v>
      </c>
      <c r="G134" s="16">
        <f>'Balance Sheet'!G37</f>
        <v>11933.4</v>
      </c>
      <c r="I134" s="21"/>
      <c r="J134" s="22"/>
      <c r="K134" s="22"/>
      <c r="L134" s="23"/>
    </row>
    <row r="135" spans="2:12" ht="19.5" thickBot="1" x14ac:dyDescent="0.3">
      <c r="B135" s="17" t="s">
        <v>196</v>
      </c>
      <c r="C135" s="17">
        <f>ROUND(365/C133*C134, 2)</f>
        <v>77.069999999999993</v>
      </c>
      <c r="D135" s="17">
        <f t="shared" ref="D135:G135" si="27">ROUND(365/D133*D134, 2)</f>
        <v>73.11</v>
      </c>
      <c r="E135" s="17">
        <f t="shared" si="27"/>
        <v>75.02</v>
      </c>
      <c r="F135" s="17">
        <f t="shared" si="27"/>
        <v>62.41</v>
      </c>
      <c r="G135" s="17">
        <f t="shared" si="27"/>
        <v>97.56</v>
      </c>
      <c r="I135" s="24"/>
      <c r="J135" s="25"/>
      <c r="K135" s="25"/>
      <c r="L135" s="26"/>
    </row>
    <row r="136" spans="2:12" ht="15.75" thickTop="1" x14ac:dyDescent="0.25"/>
    <row r="137" spans="2:12" ht="18.75" x14ac:dyDescent="0.25">
      <c r="B137" s="14" t="s">
        <v>197</v>
      </c>
      <c r="C137" s="14"/>
      <c r="D137" s="14"/>
      <c r="E137" s="14"/>
      <c r="F137" s="14"/>
      <c r="G137" s="14"/>
    </row>
    <row r="138" spans="2:12" ht="18.75" x14ac:dyDescent="0.25">
      <c r="B138" s="15" t="str">
        <f>'Income Statement'!B5</f>
        <v>Gross Sales</v>
      </c>
      <c r="C138" s="16">
        <f>'Income Statement'!C5</f>
        <v>30772.9</v>
      </c>
      <c r="D138" s="16">
        <f>'Income Statement'!D5</f>
        <v>34742.1</v>
      </c>
      <c r="E138" s="16">
        <f>'Income Statement'!E5</f>
        <v>36867.699999999997</v>
      </c>
      <c r="F138" s="16">
        <f>'Income Statement'!F5</f>
        <v>37855.1</v>
      </c>
      <c r="G138" s="16">
        <f>'Income Statement'!G5</f>
        <v>44645.98</v>
      </c>
    </row>
    <row r="139" spans="2:12" ht="18.75" x14ac:dyDescent="0.25">
      <c r="B139" s="15" t="str">
        <f>'Balance Sheet'!B36</f>
        <v>Inventories</v>
      </c>
      <c r="C139" s="16">
        <f>'Balance Sheet'!C36</f>
        <v>65.900000000000006</v>
      </c>
      <c r="D139" s="16">
        <f>'Balance Sheet'!D36</f>
        <v>75.2</v>
      </c>
      <c r="E139" s="16">
        <f>'Balance Sheet'!E36</f>
        <v>35.799999999999997</v>
      </c>
      <c r="F139" s="16">
        <f>'Balance Sheet'!F36</f>
        <v>24.2</v>
      </c>
      <c r="G139" s="16">
        <f>'Balance Sheet'!G36</f>
        <v>40.5</v>
      </c>
    </row>
    <row r="140" spans="2:12" ht="18.75" x14ac:dyDescent="0.25">
      <c r="B140" s="15" t="s">
        <v>192</v>
      </c>
      <c r="C140" s="16">
        <f>ROUND(365/C138*C139, 2)</f>
        <v>0.78</v>
      </c>
      <c r="D140" s="16">
        <f t="shared" ref="D140:G140" si="28">ROUND(365/D138*D139, 2)</f>
        <v>0.79</v>
      </c>
      <c r="E140" s="16">
        <f t="shared" si="28"/>
        <v>0.35</v>
      </c>
      <c r="F140" s="16">
        <f t="shared" si="28"/>
        <v>0.23</v>
      </c>
      <c r="G140" s="16">
        <f t="shared" si="28"/>
        <v>0.33</v>
      </c>
    </row>
    <row r="141" spans="2:12" ht="19.5" thickBot="1" x14ac:dyDescent="0.3">
      <c r="B141" s="15" t="str">
        <f>'Income Statement'!B11</f>
        <v>Cost Of Materials Consumed</v>
      </c>
      <c r="C141" s="16">
        <f>'Income Statement'!C11</f>
        <v>0</v>
      </c>
      <c r="D141" s="16">
        <f>'Income Statement'!D11</f>
        <v>0</v>
      </c>
      <c r="E141" s="16">
        <f>'Income Statement'!E11</f>
        <v>0</v>
      </c>
      <c r="F141" s="16">
        <f>'Income Statement'!F11</f>
        <v>0</v>
      </c>
      <c r="G141" s="16">
        <f>'Income Statement'!G11</f>
        <v>0</v>
      </c>
    </row>
    <row r="142" spans="2:12" ht="19.5" thickTop="1" x14ac:dyDescent="0.25">
      <c r="B142" s="15" t="str">
        <f>'Balance Sheet'!B19</f>
        <v>Total Current Liabilities</v>
      </c>
      <c r="C142" s="16">
        <f>'Balance Sheet'!C19</f>
        <v>8123.2000000000007</v>
      </c>
      <c r="D142" s="16">
        <f>'Balance Sheet'!D19</f>
        <v>10048.6</v>
      </c>
      <c r="E142" s="16">
        <f>'Balance Sheet'!E19</f>
        <v>11453</v>
      </c>
      <c r="F142" s="16">
        <f>'Balance Sheet'!F19</f>
        <v>11465.2</v>
      </c>
      <c r="G142" s="16">
        <f>'Balance Sheet'!G19</f>
        <v>15452.7</v>
      </c>
      <c r="I142" s="18"/>
      <c r="J142" s="19"/>
      <c r="K142" s="19"/>
      <c r="L142" s="20"/>
    </row>
    <row r="143" spans="2:12" ht="18.75" x14ac:dyDescent="0.25">
      <c r="B143" s="15" t="s">
        <v>194</v>
      </c>
      <c r="C143" s="16" t="e">
        <f>ROUND(365/C141*C142, 2)</f>
        <v>#DIV/0!</v>
      </c>
      <c r="D143" s="16" t="e">
        <f t="shared" ref="D143:G143" si="29">ROUND(365/D141*D142, 2)</f>
        <v>#DIV/0!</v>
      </c>
      <c r="E143" s="16" t="e">
        <f t="shared" si="29"/>
        <v>#DIV/0!</v>
      </c>
      <c r="F143" s="16" t="e">
        <f t="shared" si="29"/>
        <v>#DIV/0!</v>
      </c>
      <c r="G143" s="16" t="e">
        <f t="shared" si="29"/>
        <v>#DIV/0!</v>
      </c>
      <c r="I143" s="21"/>
      <c r="J143" s="22"/>
      <c r="K143" s="22"/>
      <c r="L143" s="23"/>
    </row>
    <row r="144" spans="2:12" ht="19.5" thickBot="1" x14ac:dyDescent="0.3">
      <c r="B144" s="17" t="s">
        <v>198</v>
      </c>
      <c r="C144" s="28" t="e">
        <f>ROUND(C143+C140, 2)</f>
        <v>#DIV/0!</v>
      </c>
      <c r="D144" s="28" t="e">
        <f t="shared" ref="D144:G144" si="30">ROUND(D143+D140, 2)</f>
        <v>#DIV/0!</v>
      </c>
      <c r="E144" s="28" t="e">
        <f t="shared" si="30"/>
        <v>#DIV/0!</v>
      </c>
      <c r="F144" s="28" t="e">
        <f t="shared" si="30"/>
        <v>#DIV/0!</v>
      </c>
      <c r="G144" s="28" t="e">
        <f t="shared" si="30"/>
        <v>#DIV/0!</v>
      </c>
      <c r="I144" s="24"/>
      <c r="J144" s="25"/>
      <c r="K144" s="25"/>
      <c r="L144" s="26"/>
    </row>
    <row r="145" spans="2:12" ht="15.75" thickTop="1" x14ac:dyDescent="0.25"/>
    <row r="146" spans="2:12" ht="18.75" x14ac:dyDescent="0.25">
      <c r="B146" s="14" t="s">
        <v>199</v>
      </c>
      <c r="C146" s="14"/>
      <c r="D146" s="14"/>
      <c r="E146" s="14"/>
      <c r="F146" s="14"/>
      <c r="G146" s="14"/>
    </row>
    <row r="147" spans="2:12" ht="18.75" x14ac:dyDescent="0.25">
      <c r="B147" s="15" t="str">
        <f>'Income Statement'!B5</f>
        <v>Gross Sales</v>
      </c>
      <c r="C147" s="16">
        <f>'Income Statement'!C5</f>
        <v>30772.9</v>
      </c>
      <c r="D147" s="16">
        <f>'Income Statement'!D5</f>
        <v>34742.1</v>
      </c>
      <c r="E147" s="16">
        <f>'Income Statement'!E5</f>
        <v>36867.699999999997</v>
      </c>
      <c r="F147" s="16">
        <f>'Income Statement'!F5</f>
        <v>37855.1</v>
      </c>
      <c r="G147" s="16">
        <f>'Income Statement'!G5</f>
        <v>44645.98</v>
      </c>
    </row>
    <row r="148" spans="2:12" ht="18.75" x14ac:dyDescent="0.25">
      <c r="B148" s="15" t="str">
        <f>'Balance Sheet'!B36</f>
        <v>Inventories</v>
      </c>
      <c r="C148" s="16">
        <f>'Balance Sheet'!C36</f>
        <v>65.900000000000006</v>
      </c>
      <c r="D148" s="16">
        <f>'Balance Sheet'!D36</f>
        <v>75.2</v>
      </c>
      <c r="E148" s="16">
        <f>'Balance Sheet'!E36</f>
        <v>35.799999999999997</v>
      </c>
      <c r="F148" s="16">
        <f>'Balance Sheet'!F36</f>
        <v>24.2</v>
      </c>
      <c r="G148" s="16">
        <f>'Balance Sheet'!G36</f>
        <v>40.5</v>
      </c>
    </row>
    <row r="149" spans="2:12" ht="18.75" x14ac:dyDescent="0.25">
      <c r="B149" s="15" t="s">
        <v>192</v>
      </c>
      <c r="C149" s="16">
        <f>ROUND(365/C147*C148, 2)</f>
        <v>0.78</v>
      </c>
      <c r="D149" s="16">
        <f t="shared" ref="D149:G149" si="31">ROUND(365/D147*D148, 2)</f>
        <v>0.79</v>
      </c>
      <c r="E149" s="16">
        <f t="shared" si="31"/>
        <v>0.35</v>
      </c>
      <c r="F149" s="16">
        <f t="shared" si="31"/>
        <v>0.23</v>
      </c>
      <c r="G149" s="16">
        <f t="shared" si="31"/>
        <v>0.33</v>
      </c>
    </row>
    <row r="150" spans="2:12" ht="18.75" x14ac:dyDescent="0.25">
      <c r="B150" s="15" t="str">
        <f>'Income Statement'!B11</f>
        <v>Cost Of Materials Consumed</v>
      </c>
      <c r="C150" s="16">
        <f>'Income Statement'!C11</f>
        <v>0</v>
      </c>
      <c r="D150" s="16">
        <f>'Income Statement'!D11</f>
        <v>0</v>
      </c>
      <c r="E150" s="16">
        <f>'Income Statement'!E11</f>
        <v>0</v>
      </c>
      <c r="F150" s="16">
        <f>'Income Statement'!F11</f>
        <v>0</v>
      </c>
      <c r="G150" s="16">
        <f>'Income Statement'!G11</f>
        <v>0</v>
      </c>
    </row>
    <row r="151" spans="2:12" ht="18.75" x14ac:dyDescent="0.25">
      <c r="B151" s="15" t="str">
        <f>'Balance Sheet'!B19</f>
        <v>Total Current Liabilities</v>
      </c>
      <c r="C151" s="16">
        <f>'Balance Sheet'!C19</f>
        <v>8123.2000000000007</v>
      </c>
      <c r="D151" s="16">
        <f>'Balance Sheet'!D19</f>
        <v>10048.6</v>
      </c>
      <c r="E151" s="16">
        <f>'Balance Sheet'!E19</f>
        <v>11453</v>
      </c>
      <c r="F151" s="16">
        <f>'Balance Sheet'!F19</f>
        <v>11465.2</v>
      </c>
      <c r="G151" s="16">
        <f>'Balance Sheet'!G19</f>
        <v>15452.7</v>
      </c>
    </row>
    <row r="152" spans="2:12" ht="18.75" x14ac:dyDescent="0.25">
      <c r="B152" s="15" t="s">
        <v>194</v>
      </c>
      <c r="C152" s="16" t="e">
        <f>ROUND(365/C150*C151, 2)</f>
        <v>#DIV/0!</v>
      </c>
      <c r="D152" s="16" t="e">
        <f t="shared" ref="D152:G152" si="32">ROUND(365/D150*D151, 2)</f>
        <v>#DIV/0!</v>
      </c>
      <c r="E152" s="16" t="e">
        <f t="shared" si="32"/>
        <v>#DIV/0!</v>
      </c>
      <c r="F152" s="16" t="e">
        <f t="shared" si="32"/>
        <v>#DIV/0!</v>
      </c>
      <c r="G152" s="16" t="e">
        <f t="shared" si="32"/>
        <v>#DIV/0!</v>
      </c>
    </row>
    <row r="153" spans="2:12" ht="18.75" x14ac:dyDescent="0.25">
      <c r="B153" s="15" t="s">
        <v>200</v>
      </c>
      <c r="C153" s="16" t="e">
        <f>ROUND(C152+C149, 2)</f>
        <v>#DIV/0!</v>
      </c>
      <c r="D153" s="16" t="e">
        <f t="shared" ref="D153:G153" si="33">ROUND(D152+D149, 2)</f>
        <v>#DIV/0!</v>
      </c>
      <c r="E153" s="16" t="e">
        <f t="shared" si="33"/>
        <v>#DIV/0!</v>
      </c>
      <c r="F153" s="16" t="e">
        <f t="shared" si="33"/>
        <v>#DIV/0!</v>
      </c>
      <c r="G153" s="16" t="e">
        <f t="shared" si="33"/>
        <v>#DIV/0!</v>
      </c>
    </row>
    <row r="154" spans="2:12" ht="19.5" thickBot="1" x14ac:dyDescent="0.3">
      <c r="B154" s="15" t="str">
        <f>'Income Statement'!B11</f>
        <v>Cost Of Materials Consumed</v>
      </c>
      <c r="C154" s="16">
        <f>'Income Statement'!C11</f>
        <v>0</v>
      </c>
      <c r="D154" s="16">
        <f>'Income Statement'!D11</f>
        <v>0</v>
      </c>
      <c r="E154" s="16">
        <f>'Income Statement'!E11</f>
        <v>0</v>
      </c>
      <c r="F154" s="16">
        <f>'Income Statement'!F11</f>
        <v>0</v>
      </c>
      <c r="G154" s="16">
        <f>'Income Statement'!G11</f>
        <v>0</v>
      </c>
    </row>
    <row r="155" spans="2:12" ht="19.5" thickTop="1" x14ac:dyDescent="0.25">
      <c r="B155" s="15" t="str">
        <f>'Balance Sheet'!B19</f>
        <v>Total Current Liabilities</v>
      </c>
      <c r="C155" s="16">
        <f>'Balance Sheet'!C19</f>
        <v>8123.2000000000007</v>
      </c>
      <c r="D155" s="16">
        <f>'Balance Sheet'!D19</f>
        <v>10048.6</v>
      </c>
      <c r="E155" s="16">
        <f>'Balance Sheet'!E19</f>
        <v>11453</v>
      </c>
      <c r="F155" s="16">
        <f>'Balance Sheet'!F19</f>
        <v>11465.2</v>
      </c>
      <c r="G155" s="16">
        <f>'Balance Sheet'!G19</f>
        <v>15452.7</v>
      </c>
      <c r="I155" s="18"/>
      <c r="J155" s="19"/>
      <c r="K155" s="19"/>
      <c r="L155" s="20"/>
    </row>
    <row r="156" spans="2:12" ht="18.75" x14ac:dyDescent="0.25">
      <c r="B156" s="15" t="s">
        <v>194</v>
      </c>
      <c r="C156" s="16" t="e">
        <f>ROUND(365/C154*C155, 2)</f>
        <v>#DIV/0!</v>
      </c>
      <c r="D156" s="16" t="e">
        <f t="shared" ref="D156:G156" si="34">ROUND(365/D154*D155, 2)</f>
        <v>#DIV/0!</v>
      </c>
      <c r="E156" s="16" t="e">
        <f t="shared" si="34"/>
        <v>#DIV/0!</v>
      </c>
      <c r="F156" s="16" t="e">
        <f t="shared" si="34"/>
        <v>#DIV/0!</v>
      </c>
      <c r="G156" s="16" t="e">
        <f t="shared" si="34"/>
        <v>#DIV/0!</v>
      </c>
      <c r="I156" s="21"/>
      <c r="J156" s="22"/>
      <c r="K156" s="22"/>
      <c r="L156" s="23"/>
    </row>
    <row r="157" spans="2:12" ht="19.5" thickBot="1" x14ac:dyDescent="0.3">
      <c r="B157" s="17" t="s">
        <v>201</v>
      </c>
      <c r="C157" s="28" t="e">
        <f>ROUND(C156-C153, 2)</f>
        <v>#DIV/0!</v>
      </c>
      <c r="D157" s="28" t="e">
        <f t="shared" ref="D157:G157" si="35">ROUND(D156-D153, 2)</f>
        <v>#DIV/0!</v>
      </c>
      <c r="E157" s="28" t="e">
        <f t="shared" si="35"/>
        <v>#DIV/0!</v>
      </c>
      <c r="F157" s="28" t="e">
        <f t="shared" si="35"/>
        <v>#DIV/0!</v>
      </c>
      <c r="G157" s="28" t="e">
        <f t="shared" si="35"/>
        <v>#DIV/0!</v>
      </c>
      <c r="I157" s="24"/>
      <c r="J157" s="25"/>
      <c r="K157" s="25"/>
      <c r="L157" s="26"/>
    </row>
    <row r="158" spans="2:12" ht="15.75" thickTop="1" x14ac:dyDescent="0.25"/>
  </sheetData>
  <mergeCells count="54">
    <mergeCell ref="B132:G132"/>
    <mergeCell ref="I133:L135"/>
    <mergeCell ref="B137:G137"/>
    <mergeCell ref="I142:L144"/>
    <mergeCell ref="B146:G146"/>
    <mergeCell ref="I155:L157"/>
    <mergeCell ref="B117:G117"/>
    <mergeCell ref="I118:L120"/>
    <mergeCell ref="B122:G122"/>
    <mergeCell ref="I123:L125"/>
    <mergeCell ref="B127:G127"/>
    <mergeCell ref="I128:L130"/>
    <mergeCell ref="B102:G102"/>
    <mergeCell ref="I103:L105"/>
    <mergeCell ref="B107:G107"/>
    <mergeCell ref="I108:L110"/>
    <mergeCell ref="B112:G112"/>
    <mergeCell ref="I113:L115"/>
    <mergeCell ref="B87:G87"/>
    <mergeCell ref="I88:L90"/>
    <mergeCell ref="B92:G92"/>
    <mergeCell ref="I93:L95"/>
    <mergeCell ref="B97:G97"/>
    <mergeCell ref="I98:L100"/>
    <mergeCell ref="B71:G71"/>
    <mergeCell ref="I73:L75"/>
    <mergeCell ref="B77:G77"/>
    <mergeCell ref="I78:L80"/>
    <mergeCell ref="B82:G82"/>
    <mergeCell ref="I83:L85"/>
    <mergeCell ref="B56:G56"/>
    <mergeCell ref="I57:L59"/>
    <mergeCell ref="B61:G61"/>
    <mergeCell ref="I62:L64"/>
    <mergeCell ref="B66:G66"/>
    <mergeCell ref="I67:L69"/>
    <mergeCell ref="B40:G40"/>
    <mergeCell ref="I41:L43"/>
    <mergeCell ref="B45:G45"/>
    <mergeCell ref="I46:L48"/>
    <mergeCell ref="B50:G50"/>
    <mergeCell ref="I52:L54"/>
    <mergeCell ref="B20:G20"/>
    <mergeCell ref="I25:L27"/>
    <mergeCell ref="B29:G29"/>
    <mergeCell ref="I31:L33"/>
    <mergeCell ref="B35:G35"/>
    <mergeCell ref="I36:L38"/>
    <mergeCell ref="B5:G5"/>
    <mergeCell ref="I6:L8"/>
    <mergeCell ref="B10:G10"/>
    <mergeCell ref="I11:L13"/>
    <mergeCell ref="B15:G15"/>
    <mergeCell ref="I16:L1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5C3717BB-7085-4D7A-8133-A057547927F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  <x14:sparklineGroup type="column" displayEmptyCellsAs="gap" high="1" xr2:uid="{FA2AAE3B-B027-4AF4-AFB4-287720479FE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E61D99EA-C29C-4B1D-A820-2D9322A0815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31CA2741-4BEB-459D-B762-62561AF70B1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1C6514B3-E36A-46B5-9749-8A0EDA8F0A5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CCD915A8-5C28-41D2-87F0-15447451334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78B0DC59-E009-43CB-8FC8-1F737F57833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F827DD25-8F65-4201-BDCC-1F26BEEC64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A78CD9C1-0E23-42BE-B55E-0074B531572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A2FF4050-926B-46C5-A6F2-A4DB442B77B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88242121-CE37-4DCB-B2B2-0C73337AA02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5B7ED8FA-A45C-416C-A134-0DC1E16723D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4631073B-DB4A-4F1E-A778-83A20C6E3B8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C704E786-06FA-4A70-8CE9-59C82CB6FD9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1F82F589-EEF6-47D8-B51F-D988A63D756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420F7837-BE36-4F8D-8049-3793D9003CD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A050390D-5B80-49BB-8D36-CD9E411311C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C5C3BD38-A5DA-4030-A2E5-B1234AE3002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65DE169C-DD17-4EEB-AFF5-6677374055C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F5B7637C-6E4B-40CE-B61C-D730D280B77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7C97F44A-8B59-4344-AAF6-2502F6098D4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1624A3EC-F23E-454B-A614-605BD2457D2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F0FC4250-8A3A-4ECF-9FA3-72013968832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2B140260-99DE-4CCE-99C4-BDCED6042AF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FE937713-F2E1-474F-B5AE-CEC61E4AAD5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D90B37A4-33A9-47E7-942C-EF3ACDE55EB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F21851DC-EA0A-42AF-83E8-35B13ECFEE5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9CA1E-AC84-433A-A208-23B2D019A1E5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145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3786.1000000000026</v>
      </c>
      <c r="D6" s="16">
        <f>'Income Statement'!D27</f>
        <v>4354.299999999992</v>
      </c>
      <c r="E6" s="16">
        <f>'Income Statement'!E27</f>
        <v>4120.3999999999996</v>
      </c>
      <c r="F6" s="16">
        <f>'Income Statement'!F27</f>
        <v>4402.4999999999982</v>
      </c>
      <c r="G6" s="16">
        <f>'Income Statement'!G27</f>
        <v>5630.0800000000063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88.048837209302391</v>
      </c>
      <c r="D7" s="16">
        <f>'Income Statement'!D35</f>
        <v>90.714583333333167</v>
      </c>
      <c r="E7" s="16">
        <f>'Income Statement'!E35</f>
        <v>89.573913043478257</v>
      </c>
      <c r="F7" s="16">
        <f>'Income Statement'!F35</f>
        <v>86.323529411764667</v>
      </c>
      <c r="G7" s="16">
        <f>'Income Statement'!G35</f>
        <v>89.366349206349312</v>
      </c>
    </row>
    <row r="8" spans="2:7" ht="18.75" x14ac:dyDescent="0.25">
      <c r="B8" s="17" t="s">
        <v>146</v>
      </c>
      <c r="C8" s="17">
        <f>ROUND(C6/C7, 2)</f>
        <v>43</v>
      </c>
      <c r="D8" s="17">
        <f t="shared" ref="D8:G8" si="0">ROUND(D6/D7, 2)</f>
        <v>48</v>
      </c>
      <c r="E8" s="17">
        <f t="shared" si="0"/>
        <v>46</v>
      </c>
      <c r="F8" s="17">
        <f t="shared" si="0"/>
        <v>51</v>
      </c>
      <c r="G8" s="17">
        <f t="shared" si="0"/>
        <v>63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655C6-EDF2-498D-877E-60300BF31D14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3" width="10" bestFit="1" customWidth="1"/>
    <col min="4" max="6" width="11.5703125" bestFit="1" customWidth="1"/>
    <col min="7" max="7" width="8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147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943.8</v>
      </c>
      <c r="D6" s="16">
        <f>'Income Statement'!D28</f>
        <v>1490.7</v>
      </c>
      <c r="E6" s="16">
        <f>'Income Statement'!E28</f>
        <v>2491.6999999999998</v>
      </c>
      <c r="F6" s="16">
        <f>'Income Statement'!F28</f>
        <v>1759.2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88.048837209302391</v>
      </c>
      <c r="D7" s="16">
        <f>'Income Statement'!D35</f>
        <v>90.714583333333167</v>
      </c>
      <c r="E7" s="16">
        <f>'Income Statement'!E35</f>
        <v>89.573913043478257</v>
      </c>
      <c r="F7" s="16">
        <f>'Income Statement'!F35</f>
        <v>86.323529411764667</v>
      </c>
      <c r="G7" s="16">
        <f>'Income Statement'!G35</f>
        <v>89.366349206349312</v>
      </c>
    </row>
    <row r="8" spans="2:7" ht="18.75" x14ac:dyDescent="0.25">
      <c r="B8" s="17" t="s">
        <v>148</v>
      </c>
      <c r="C8" s="17">
        <f>ROUND(C6/C7, 2)</f>
        <v>10.72</v>
      </c>
      <c r="D8" s="17">
        <f t="shared" ref="D8:G8" si="0">ROUND(D6/D7, 2)</f>
        <v>16.43</v>
      </c>
      <c r="E8" s="17">
        <f t="shared" si="0"/>
        <v>27.82</v>
      </c>
      <c r="F8" s="17">
        <f t="shared" si="0"/>
        <v>20.38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EFF0C-29F2-4E2D-BEB8-71E40B7D193A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149</v>
      </c>
      <c r="C5" s="14"/>
      <c r="D5" s="14"/>
      <c r="E5" s="14"/>
      <c r="F5" s="14"/>
      <c r="G5" s="14"/>
    </row>
    <row r="6" spans="2:7" ht="18.75" x14ac:dyDescent="0.25">
      <c r="B6" s="15" t="str">
        <f>'Balance Sheet'!B9</f>
        <v>Net Worth</v>
      </c>
      <c r="C6" s="16">
        <f>'Balance Sheet'!C9</f>
        <v>18840.400000000001</v>
      </c>
      <c r="D6" s="16">
        <f>'Balance Sheet'!D9</f>
        <v>21705.999999999993</v>
      </c>
      <c r="E6" s="16">
        <f>'Balance Sheet'!E9</f>
        <v>23326.799999999992</v>
      </c>
      <c r="F6" s="16">
        <f>'Balance Sheet'!F9</f>
        <v>25971.299999999992</v>
      </c>
      <c r="G6" s="16">
        <f>'Balance Sheet'!G9</f>
        <v>31603.19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88.048837209302391</v>
      </c>
      <c r="D7" s="16">
        <f>'Income Statement'!D35</f>
        <v>90.714583333333167</v>
      </c>
      <c r="E7" s="16">
        <f>'Income Statement'!E35</f>
        <v>89.573913043478257</v>
      </c>
      <c r="F7" s="16">
        <f>'Income Statement'!F35</f>
        <v>86.323529411764667</v>
      </c>
      <c r="G7" s="16">
        <f>'Income Statement'!G35</f>
        <v>89.366349206349312</v>
      </c>
    </row>
    <row r="8" spans="2:7" ht="18.75" x14ac:dyDescent="0.25">
      <c r="B8" s="17" t="s">
        <v>150</v>
      </c>
      <c r="C8" s="17">
        <f>ROUND(C6/C7, 2)</f>
        <v>213.98</v>
      </c>
      <c r="D8" s="17">
        <f t="shared" ref="D8:G8" si="0">ROUND(D6/D7, 2)</f>
        <v>239.28</v>
      </c>
      <c r="E8" s="17">
        <f t="shared" si="0"/>
        <v>260.42</v>
      </c>
      <c r="F8" s="17">
        <f t="shared" si="0"/>
        <v>300.86</v>
      </c>
      <c r="G8" s="17">
        <f t="shared" si="0"/>
        <v>353.64</v>
      </c>
    </row>
  </sheetData>
  <mergeCells count="1">
    <mergeCell ref="B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45</vt:i4>
      </vt:variant>
      <vt:variant>
        <vt:lpstr>Named Ranges</vt:lpstr>
      </vt:variant>
      <vt:variant>
        <vt:i4>84</vt:i4>
      </vt:variant>
    </vt:vector>
  </HeadingPairs>
  <TitlesOfParts>
    <vt:vector size="129" baseType="lpstr">
      <vt:lpstr>BSInput</vt:lpstr>
      <vt:lpstr>ISMInput</vt:lpstr>
      <vt:lpstr>Income Statement</vt:lpstr>
      <vt:lpstr>Balance Sheet</vt:lpstr>
      <vt:lpstr>CashFlow Statement</vt:lpstr>
      <vt:lpstr>Ratios</vt:lpstr>
      <vt:lpstr>Earning  Per Share</vt:lpstr>
      <vt:lpstr>Equity Dividend Per Share</vt:lpstr>
      <vt:lpstr>Book Value  Per Share</vt:lpstr>
      <vt:lpstr>Dividend Pay Out Ratio</vt:lpstr>
      <vt:lpstr>Dividend Retention Ratio</vt:lpstr>
      <vt:lpstr>Gross Profit</vt:lpstr>
      <vt:lpstr>Net Profit</vt:lpstr>
      <vt:lpstr>Return On Assets</vt:lpstr>
      <vt:lpstr>Return On Capital Employeed</vt:lpstr>
      <vt:lpstr>Return On Equity</vt:lpstr>
      <vt:lpstr>Debt Equity Ratio</vt:lpstr>
      <vt:lpstr>Current Ratio</vt:lpstr>
      <vt:lpstr>Quick Ratio</vt:lpstr>
      <vt:lpstr>Interest Coverage Ratio</vt:lpstr>
      <vt:lpstr>Material Consumed</vt:lpstr>
      <vt:lpstr>Defensive Interval Ratio</vt:lpstr>
      <vt:lpstr>Purchases Per Day</vt:lpstr>
      <vt:lpstr>Asset TurnOver Ratio</vt:lpstr>
      <vt:lpstr>Inventory TurnOver Ratio</vt:lpstr>
      <vt:lpstr>Debtors TurnOver Ratio</vt:lpstr>
      <vt:lpstr>Fixed Assets TurnOver Ratio</vt:lpstr>
      <vt:lpstr>Payable TurnOver Ratio</vt:lpstr>
      <vt:lpstr>Inventory Days</vt:lpstr>
      <vt:lpstr>Payable Days</vt:lpstr>
      <vt:lpstr>Receivable Days</vt:lpstr>
      <vt:lpstr>Operating Cycle</vt:lpstr>
      <vt:lpstr>Cash Conversion Cycle Days</vt:lpstr>
      <vt:lpstr>NetWorthVsTotalLiabilties</vt:lpstr>
      <vt:lpstr>PBDITvsPBIT</vt:lpstr>
      <vt:lpstr>CAvsCL</vt:lpstr>
      <vt:lpstr>Long And Short Term Provisions</vt:lpstr>
      <vt:lpstr>MaterialConsumed_DirectExpenses</vt:lpstr>
      <vt:lpstr>Gross Sales In Total 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 Profit CF To Balance Sheet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2022-07-03T11:55:13Z</dcterms:created>
  <dcterms:modified xsi:type="dcterms:W3CDTF">2022-07-04T07:10:00Z</dcterms:modified>
</cp:coreProperties>
</file>