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3141E1ED-8349-4806-8FE9-CAC113F9B38B}" xr6:coauthVersionLast="47" xr6:coauthVersionMax="47" xr10:uidLastSave="{00000000-0000-0000-0000-000000000000}"/>
  <bookViews>
    <workbookView xWindow="-120" yWindow="-120" windowWidth="20730" windowHeight="11160" firstSheet="42" activeTab="44" xr2:uid="{A8462BCD-2BF1-4894-88BE-EF714621852D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9" i="4"/>
  <c r="C21" i="4" s="1"/>
  <c r="C7" i="4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 s="1"/>
  <c r="F9" i="4"/>
  <c r="F21" i="4" s="1"/>
  <c r="G8" i="4"/>
  <c r="G9" i="4" s="1"/>
  <c r="G21" i="4" s="1"/>
  <c r="E39" i="4" l="1"/>
  <c r="E40" i="4" s="1"/>
  <c r="F38" i="4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<sst xmlns="http://schemas.openxmlformats.org/spreadsheetml/2006/main" count="490" uniqueCount="203">
  <si>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Hindalco Industries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</si>
  <si>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</si>
  <si>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</si>
  <si>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</si>
  <si>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</si>
  <si>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</si>
  <si>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</si>
  <si>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</si>
  <si>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</si>
  <si>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</si>
  <si>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</si>
  <si>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</si>
  <si>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</si>
  <si>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</si>
  <si>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</si>
  <si>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</si>
  <si>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</si>
  <si>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</si>
  <si>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</si>
  <si>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</si>
  <si>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</si>
  <si>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</si>
  <si>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</si>
  <si>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</si>
  <si>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</si>
  <si>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</si>
  <si>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</si>
  <si>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</si>
  <si>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</si>
  <si>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</si>
  <si>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</si>
  <si>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</si>
  <si>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</si>
  <si>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</si>
  <si>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</si>
  <si>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</si>
  <si>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</si>
  <si>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</si>
  <si>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</si>
  <si>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</si>
  <si>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</si>
  <si>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</si>
  <si>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</si>
  <si>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</si>
  <si>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</si>
  <si>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</si>
  <si>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</si>
  <si>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</si>
  <si>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</si>
  <si>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</si>
  <si>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</si>
  <si>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</si>
  <si>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</si>
  <si>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</si>
  <si>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</si>
  <si>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Hindalco Industries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</si>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</sst>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E39-44E7-99E2-89BC95EAA17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27</c:v>
                </c:pt>
                <c:pt idx="1">
                  <c:v>25</c:v>
                </c:pt>
                <c:pt idx="2">
                  <c:v>17</c:v>
                </c:pt>
                <c:pt idx="3">
                  <c:v>16</c:v>
                </c:pt>
                <c:pt idx="4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E39-44E7-99E2-89BC95EAA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9936"/>
        <c:axId val="449423376"/>
      </c:lineChart>
      <c:catAx>
        <c:axId val="449429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376"/>
        <c:crosses val="autoZero"/>
        <c:auto val="0"/>
        <c:lblAlgn val="ctr"/>
        <c:lblOffset val="100"/>
        <c:noMultiLvlLbl val="0"/>
      </c:catAx>
      <c:valAx>
        <c:axId val="449423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99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A9B-4D72-B221-5D0262628AB5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A9B-4D72-B221-5D0262628AB5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FA9B-4D72-B221-5D0262628AB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0.03</c:v>
                </c:pt>
                <c:pt idx="1">
                  <c:v>0.04</c:v>
                </c:pt>
                <c:pt idx="2">
                  <c:v>0.02</c:v>
                </c:pt>
                <c:pt idx="3">
                  <c:v>0.02</c:v>
                </c:pt>
                <c:pt idx="4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A9B-4D72-B221-5D0262628A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098488"/>
        <c:axId val="441105376"/>
      </c:lineChart>
      <c:catAx>
        <c:axId val="441098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5376"/>
        <c:crosses val="autoZero"/>
        <c:auto val="0"/>
        <c:lblAlgn val="ctr"/>
        <c:lblOffset val="100"/>
        <c:noMultiLvlLbl val="0"/>
      </c:catAx>
      <c:valAx>
        <c:axId val="4411053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10984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142-4FD2-87BC-82FAC0FE39B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1.01</c:v>
                </c:pt>
                <c:pt idx="1">
                  <c:v>0.95</c:v>
                </c:pt>
                <c:pt idx="2">
                  <c:v>1.1499999999999999</c:v>
                </c:pt>
                <c:pt idx="3">
                  <c:v>1.06</c:v>
                </c:pt>
                <c:pt idx="4">
                  <c:v>0.95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142-4FD2-87BC-82FAC0FE39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6032"/>
        <c:axId val="441100784"/>
      </c:lineChart>
      <c:catAx>
        <c:axId val="44110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0784"/>
        <c:crosses val="autoZero"/>
        <c:auto val="0"/>
        <c:lblAlgn val="ctr"/>
        <c:lblOffset val="100"/>
        <c:noMultiLvlLbl val="0"/>
      </c:catAx>
      <c:valAx>
        <c:axId val="4411007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60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09D-4240-953D-04DA9D2208F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09D-4240-953D-04DA9D2208F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1.32</c:v>
                </c:pt>
                <c:pt idx="1">
                  <c:v>2.0699999999999998</c:v>
                </c:pt>
                <c:pt idx="2">
                  <c:v>2.4700000000000002</c:v>
                </c:pt>
                <c:pt idx="3">
                  <c:v>1.89</c:v>
                </c:pt>
                <c:pt idx="4">
                  <c:v>1.82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09D-4240-953D-04DA9D220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787408"/>
        <c:axId val="624788392"/>
      </c:lineChart>
      <c:catAx>
        <c:axId val="624787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8392"/>
        <c:crosses val="autoZero"/>
        <c:auto val="0"/>
        <c:lblAlgn val="ctr"/>
        <c:lblOffset val="100"/>
        <c:noMultiLvlLbl val="0"/>
      </c:catAx>
      <c:valAx>
        <c:axId val="6247883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787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1DA4-4B11-82AC-02116CA19F25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DA4-4B11-82AC-02116CA19F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0.75</c:v>
                </c:pt>
                <c:pt idx="1">
                  <c:v>1.49</c:v>
                </c:pt>
                <c:pt idx="2">
                  <c:v>1.91</c:v>
                </c:pt>
                <c:pt idx="3">
                  <c:v>1.31</c:v>
                </c:pt>
                <c:pt idx="4">
                  <c:v>1.24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1DA4-4B11-82AC-02116CA19F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0568"/>
        <c:axId val="553939984"/>
      </c:lineChart>
      <c:catAx>
        <c:axId val="632060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939984"/>
        <c:crosses val="autoZero"/>
        <c:auto val="0"/>
        <c:lblAlgn val="ctr"/>
        <c:lblOffset val="100"/>
        <c:noMultiLvlLbl val="0"/>
      </c:catAx>
      <c:valAx>
        <c:axId val="55393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32060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ECE-4288-858E-399868B8F38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ECE-4288-858E-399868B8F38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ECE-4288-858E-399868B8F38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2</c:v>
                </c:pt>
                <c:pt idx="1">
                  <c:v>3.09</c:v>
                </c:pt>
                <c:pt idx="2">
                  <c:v>2.31</c:v>
                </c:pt>
                <c:pt idx="3">
                  <c:v>2.73</c:v>
                </c:pt>
                <c:pt idx="4">
                  <c:v>4.05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CE-4288-858E-399868B8F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017920"/>
        <c:axId val="558018904"/>
      </c:lineChart>
      <c:catAx>
        <c:axId val="558017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8904"/>
        <c:crosses val="autoZero"/>
        <c:auto val="0"/>
        <c:lblAlgn val="ctr"/>
        <c:lblOffset val="100"/>
        <c:noMultiLvlLbl val="0"/>
      </c:catAx>
      <c:valAx>
        <c:axId val="5580189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179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850-4F8F-8DD6-DAE9D88B6AE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0.69</c:v>
                </c:pt>
                <c:pt idx="1">
                  <c:v>0.68</c:v>
                </c:pt>
                <c:pt idx="2">
                  <c:v>0.66</c:v>
                </c:pt>
                <c:pt idx="3">
                  <c:v>0.66</c:v>
                </c:pt>
                <c:pt idx="4">
                  <c:v>0.64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850-4F8F-8DD6-DAE9D88B6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8013656"/>
        <c:axId val="558015952"/>
      </c:lineChart>
      <c:catAx>
        <c:axId val="558013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5952"/>
        <c:crosses val="autoZero"/>
        <c:auto val="0"/>
        <c:lblAlgn val="ctr"/>
        <c:lblOffset val="100"/>
        <c:noMultiLvlLbl val="0"/>
      </c:catAx>
      <c:valAx>
        <c:axId val="558015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801365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53F-480A-9A33-388B0F8C5DDA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53F-480A-9A33-388B0F8C5D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37</c:v>
                </c:pt>
                <c:pt idx="1">
                  <c:v>148.19</c:v>
                </c:pt>
                <c:pt idx="2">
                  <c:v>262.49</c:v>
                </c:pt>
                <c:pt idx="3">
                  <c:v>202.48</c:v>
                </c:pt>
                <c:pt idx="4">
                  <c:v>170.9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53F-480A-9A33-388B0F8C5D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4392"/>
        <c:axId val="441100128"/>
      </c:lineChart>
      <c:catAx>
        <c:axId val="441104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0128"/>
        <c:crosses val="autoZero"/>
        <c:auto val="0"/>
        <c:lblAlgn val="ctr"/>
        <c:lblOffset val="100"/>
        <c:noMultiLvlLbl val="0"/>
      </c:catAx>
      <c:valAx>
        <c:axId val="441100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43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69E8-4B71-BF41-8E2548E6553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9E8-4B71-BF41-8E2548E6553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69E8-4B71-BF41-8E2548E6553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8057.76</c:v>
                </c:pt>
                <c:pt idx="1">
                  <c:v>35601.879999999997</c:v>
                </c:pt>
                <c:pt idx="2">
                  <c:v>55897.57</c:v>
                </c:pt>
                <c:pt idx="3">
                  <c:v>47861.57</c:v>
                </c:pt>
                <c:pt idx="4">
                  <c:v>58684.57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E8-4B71-BF41-8E2548E655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1576"/>
        <c:axId val="449432232"/>
      </c:lineChart>
      <c:catAx>
        <c:axId val="449431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2232"/>
        <c:crosses val="autoZero"/>
        <c:auto val="0"/>
        <c:lblAlgn val="ctr"/>
        <c:lblOffset val="100"/>
        <c:noMultiLvlLbl val="0"/>
      </c:catAx>
      <c:valAx>
        <c:axId val="4494322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1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973-4DB8-865F-C4798944CF1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973-4DB8-865F-C4798944CF1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973-4DB8-865F-C4798944CF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0.78</c:v>
                </c:pt>
                <c:pt idx="1">
                  <c:v>0.84</c:v>
                </c:pt>
                <c:pt idx="2">
                  <c:v>0.67</c:v>
                </c:pt>
                <c:pt idx="3">
                  <c:v>0.69</c:v>
                </c:pt>
                <c:pt idx="4">
                  <c:v>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73-4DB8-865F-C4798944C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1101768"/>
        <c:axId val="441103408"/>
      </c:lineChart>
      <c:catAx>
        <c:axId val="44110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1103408"/>
        <c:crosses val="autoZero"/>
        <c:auto val="0"/>
        <c:lblAlgn val="ctr"/>
        <c:lblOffset val="100"/>
        <c:noMultiLvlLbl val="0"/>
      </c:catAx>
      <c:valAx>
        <c:axId val="4411034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1101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6C0-47A4-8442-14697137FDC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6C0-47A4-8442-14697137FDC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5.33</c:v>
                </c:pt>
                <c:pt idx="1">
                  <c:v>5.85</c:v>
                </c:pt>
                <c:pt idx="2">
                  <c:v>5.23</c:v>
                </c:pt>
                <c:pt idx="3">
                  <c:v>4.2699999999999996</c:v>
                </c:pt>
                <c:pt idx="4">
                  <c:v>4.3899999999999997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6C0-47A4-8442-14697137FD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7880"/>
        <c:axId val="553649848"/>
      </c:lineChart>
      <c:catAx>
        <c:axId val="553647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848"/>
        <c:crosses val="autoZero"/>
        <c:auto val="0"/>
        <c:lblAlgn val="ctr"/>
        <c:lblOffset val="100"/>
        <c:noMultiLvlLbl val="0"/>
      </c:catAx>
      <c:valAx>
        <c:axId val="5536498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78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88-400F-B009-7743950B1B4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2.2000000000000002</c:v>
                </c:pt>
                <c:pt idx="1">
                  <c:v>1.27</c:v>
                </c:pt>
                <c:pt idx="2">
                  <c:v>1.49</c:v>
                </c:pt>
                <c:pt idx="3">
                  <c:v>1.1000000000000001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88-400F-B009-7743950B1B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4360"/>
        <c:axId val="449426000"/>
      </c:lineChart>
      <c:catAx>
        <c:axId val="449424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6000"/>
        <c:crosses val="autoZero"/>
        <c:auto val="0"/>
        <c:lblAlgn val="ctr"/>
        <c:lblOffset val="100"/>
        <c:noMultiLvlLbl val="0"/>
      </c:catAx>
      <c:valAx>
        <c:axId val="4494260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436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540-414E-80C5-E6B3CBABA5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11.57</c:v>
                </c:pt>
                <c:pt idx="1">
                  <c:v>11.32</c:v>
                </c:pt>
                <c:pt idx="2">
                  <c:v>12.54</c:v>
                </c:pt>
                <c:pt idx="3">
                  <c:v>10.11</c:v>
                </c:pt>
                <c:pt idx="4">
                  <c:v>9.26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540-414E-80C5-E6B3CBABA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4200"/>
        <c:axId val="449434528"/>
      </c:lineChart>
      <c:catAx>
        <c:axId val="449434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4528"/>
        <c:crosses val="autoZero"/>
        <c:auto val="0"/>
        <c:lblAlgn val="ctr"/>
        <c:lblOffset val="100"/>
        <c:noMultiLvlLbl val="0"/>
      </c:catAx>
      <c:valAx>
        <c:axId val="4494345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3420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D8E-4D2D-A99E-72B774B3A4E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D8E-4D2D-A99E-72B774B3A4E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7D8E-4D2D-A99E-72B774B3A4E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1.8</c:v>
                </c:pt>
                <c:pt idx="1">
                  <c:v>2.02</c:v>
                </c:pt>
                <c:pt idx="2">
                  <c:v>1.77</c:v>
                </c:pt>
                <c:pt idx="3">
                  <c:v>1.85</c:v>
                </c:pt>
                <c:pt idx="4">
                  <c:v>2.2200000000000002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8E-4D2D-A99E-72B774B3A4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0788464"/>
        <c:axId val="449435840"/>
      </c:lineChart>
      <c:catAx>
        <c:axId val="450788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5840"/>
        <c:crosses val="autoZero"/>
        <c:auto val="0"/>
        <c:lblAlgn val="ctr"/>
        <c:lblOffset val="100"/>
        <c:noMultiLvlLbl val="0"/>
      </c:catAx>
      <c:valAx>
        <c:axId val="4494358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07884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782C-4121-B39E-43A88F7A551A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82C-4121-B39E-43A88F7A551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2.1</c:v>
                </c:pt>
                <c:pt idx="1">
                  <c:v>2.2799999999999998</c:v>
                </c:pt>
                <c:pt idx="2">
                  <c:v>1.97</c:v>
                </c:pt>
                <c:pt idx="3">
                  <c:v>1.61</c:v>
                </c:pt>
                <c:pt idx="4">
                  <c:v>1.65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82C-4121-B39E-43A88F7A55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3296"/>
        <c:axId val="553596576"/>
      </c:lineChart>
      <c:catAx>
        <c:axId val="55359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6576"/>
        <c:crosses val="autoZero"/>
        <c:auto val="0"/>
        <c:lblAlgn val="ctr"/>
        <c:lblOffset val="100"/>
        <c:noMultiLvlLbl val="0"/>
      </c:catAx>
      <c:valAx>
        <c:axId val="5535965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5932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BEE5-44E2-A16C-4C6677FE7E3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BEE5-44E2-A16C-4C6677FE7E3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68.540000000000006</c:v>
                </c:pt>
                <c:pt idx="1">
                  <c:v>62.44</c:v>
                </c:pt>
                <c:pt idx="2">
                  <c:v>69.75</c:v>
                </c:pt>
                <c:pt idx="3">
                  <c:v>85.44</c:v>
                </c:pt>
                <c:pt idx="4">
                  <c:v>83.24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EE5-44E2-A16C-4C6677FE7E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1768"/>
        <c:axId val="439593736"/>
      </c:lineChart>
      <c:catAx>
        <c:axId val="439591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3736"/>
        <c:crosses val="autoZero"/>
        <c:auto val="0"/>
        <c:lblAlgn val="ctr"/>
        <c:lblOffset val="100"/>
        <c:noMultiLvlLbl val="0"/>
      </c:catAx>
      <c:valAx>
        <c:axId val="4395937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395917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22D6-4E12-ACCE-816A2B99AEEA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22D6-4E12-ACCE-816A2B99AE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173.7</c:v>
                </c:pt>
                <c:pt idx="1">
                  <c:v>159.88</c:v>
                </c:pt>
                <c:pt idx="2">
                  <c:v>185.18</c:v>
                </c:pt>
                <c:pt idx="3">
                  <c:v>226.97</c:v>
                </c:pt>
                <c:pt idx="4">
                  <c:v>221.31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D6-4E12-ACCE-816A2B99AE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4912"/>
        <c:axId val="553815896"/>
      </c:lineChart>
      <c:catAx>
        <c:axId val="553814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896"/>
        <c:crosses val="autoZero"/>
        <c:auto val="0"/>
        <c:lblAlgn val="ctr"/>
        <c:lblOffset val="100"/>
        <c:noMultiLvlLbl val="0"/>
      </c:catAx>
      <c:valAx>
        <c:axId val="5538158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49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346D-4CBD-9DB8-B392ADFDD90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346D-4CBD-9DB8-B392ADFDD90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346D-4CBD-9DB8-B392ADFDD90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31.56</c:v>
                </c:pt>
                <c:pt idx="1">
                  <c:v>32.24</c:v>
                </c:pt>
                <c:pt idx="2">
                  <c:v>29.12</c:v>
                </c:pt>
                <c:pt idx="3">
                  <c:v>36.1</c:v>
                </c:pt>
                <c:pt idx="4">
                  <c:v>39.44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6D-4CBD-9DB8-B392ADFDD9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832313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3136"/>
        <c:crosses val="autoZero"/>
        <c:auto val="0"/>
        <c:lblAlgn val="ctr"/>
        <c:lblOffset val="100"/>
        <c:noMultiLvlLbl val="0"/>
      </c:catAx>
      <c:valAx>
        <c:axId val="5483231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7DA-450D-B36C-885B78B14D7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7DA-450D-B36C-885B78B14D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242.24</c:v>
                </c:pt>
                <c:pt idx="1">
                  <c:v>222.32</c:v>
                </c:pt>
                <c:pt idx="2">
                  <c:v>254.93</c:v>
                </c:pt>
                <c:pt idx="3">
                  <c:v>312.41000000000003</c:v>
                </c:pt>
                <c:pt idx="4">
                  <c:v>304.55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7DA-450D-B36C-885B78B14D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33216"/>
        <c:axId val="449430920"/>
      </c:lineChart>
      <c:catAx>
        <c:axId val="44943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920"/>
        <c:crosses val="autoZero"/>
        <c:auto val="0"/>
        <c:lblAlgn val="ctr"/>
        <c:lblOffset val="100"/>
        <c:noMultiLvlLbl val="0"/>
      </c:catAx>
      <c:valAx>
        <c:axId val="449430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332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0F82-4B4C-A720-EFFFD095FA6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0F82-4B4C-A720-EFFFD095FA6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-68.540000000000006</c:v>
                </c:pt>
                <c:pt idx="1">
                  <c:v>-62.44</c:v>
                </c:pt>
                <c:pt idx="2">
                  <c:v>-69.75</c:v>
                </c:pt>
                <c:pt idx="3">
                  <c:v>-85.44</c:v>
                </c:pt>
                <c:pt idx="4">
                  <c:v>-83.24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82-4B4C-A720-EFFFD095FA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9593408"/>
        <c:axId val="439592424"/>
      </c:lineChart>
      <c:catAx>
        <c:axId val="43959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92424"/>
        <c:crosses val="autoZero"/>
        <c:auto val="0"/>
        <c:lblAlgn val="ctr"/>
        <c:lblOffset val="100"/>
        <c:noMultiLvlLbl val="0"/>
      </c:catAx>
      <c:valAx>
        <c:axId val="4395924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395934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54847.83</c:v>
                </c:pt>
                <c:pt idx="1">
                  <c:v>59842.98000000001</c:v>
                </c:pt>
                <c:pt idx="2">
                  <c:v>62568.590000000011</c:v>
                </c:pt>
                <c:pt idx="3">
                  <c:v>65583.590000000011</c:v>
                </c:pt>
                <c:pt idx="4">
                  <c:v>72293.590000000011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EE-464C-9DB5-A2F53B365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647552"/>
        <c:axId val="553648208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154972.94000000003</c:v>
                </c:pt>
                <c:pt idx="2">
                  <c:v>173779.59000000003</c:v>
                </c:pt>
                <c:pt idx="3">
                  <c:v>188749.59000000003</c:v>
                </c:pt>
                <c:pt idx="4">
                  <c:v>217164.59000000003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4C-9DB5-A2F53B3655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3647552"/>
        <c:axId val="553648208"/>
      </c:lineChart>
      <c:catAx>
        <c:axId val="5536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8208"/>
        <c:crosses val="autoZero"/>
        <c:auto val="1"/>
        <c:lblAlgn val="ctr"/>
        <c:lblOffset val="100"/>
        <c:noMultiLvlLbl val="0"/>
      </c:catAx>
      <c:valAx>
        <c:axId val="553648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755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12314.370000000024</c:v>
                </c:pt>
                <c:pt idx="1">
                  <c:v>16461.630000000005</c:v>
                </c:pt>
                <c:pt idx="2">
                  <c:v>14778</c:v>
                </c:pt>
                <c:pt idx="3">
                  <c:v>16818</c:v>
                </c:pt>
                <c:pt idx="4">
                  <c:v>21998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34A-440B-9F48-6008A1F8765D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7808.1300000000247</c:v>
                </c:pt>
                <c:pt idx="1">
                  <c:v>11684.650000000005</c:v>
                </c:pt>
                <c:pt idx="2">
                  <c:v>9687</c:v>
                </c:pt>
                <c:pt idx="3">
                  <c:v>10190</c:v>
                </c:pt>
                <c:pt idx="4">
                  <c:v>15269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34A-440B-9F48-6008A1F876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8016936"/>
        <c:axId val="558020216"/>
      </c:barChart>
      <c:catAx>
        <c:axId val="558016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20216"/>
        <c:crosses val="autoZero"/>
        <c:auto val="1"/>
        <c:lblAlgn val="ctr"/>
        <c:lblOffset val="100"/>
        <c:noMultiLvlLbl val="0"/>
      </c:catAx>
      <c:valAx>
        <c:axId val="558020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0169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644-4099-9CE2-0E68FB53E9C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644-4099-9CE2-0E68FB53E9C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411.66</c:v>
                </c:pt>
                <c:pt idx="1">
                  <c:v>281.3</c:v>
                </c:pt>
                <c:pt idx="2">
                  <c:v>348.86</c:v>
                </c:pt>
                <c:pt idx="3">
                  <c:v>324.17</c:v>
                </c:pt>
                <c:pt idx="4">
                  <c:v>667.99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644-4099-9CE2-0E68FB53E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4786424"/>
        <c:axId val="624788064"/>
      </c:lineChart>
      <c:catAx>
        <c:axId val="624786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4788064"/>
        <c:crosses val="autoZero"/>
        <c:auto val="0"/>
        <c:lblAlgn val="ctr"/>
        <c:lblOffset val="100"/>
        <c:noMultiLvlLbl val="0"/>
      </c:catAx>
      <c:valAx>
        <c:axId val="6247880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6247864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49894.59</c:v>
                </c:pt>
                <c:pt idx="1">
                  <c:v>79478.669999999984</c:v>
                </c:pt>
                <c:pt idx="2">
                  <c:v>97529.569999999992</c:v>
                </c:pt>
                <c:pt idx="3">
                  <c:v>101147.56999999999</c:v>
                </c:pt>
                <c:pt idx="4">
                  <c:v>138416.57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1C-422C-9C5D-33ECC73B2C75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37827.229999999996</c:v>
                </c:pt>
                <c:pt idx="1">
                  <c:v>38409.67</c:v>
                </c:pt>
                <c:pt idx="2">
                  <c:v>39434</c:v>
                </c:pt>
                <c:pt idx="3">
                  <c:v>53649</c:v>
                </c:pt>
                <c:pt idx="4">
                  <c:v>75994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1C-422C-9C5D-33ECC73B2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589144"/>
        <c:axId val="439589472"/>
      </c:barChart>
      <c:catAx>
        <c:axId val="439589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89472"/>
        <c:crosses val="autoZero"/>
        <c:auto val="1"/>
        <c:lblAlgn val="ctr"/>
        <c:lblOffset val="100"/>
        <c:noMultiLvlLbl val="0"/>
      </c:catAx>
      <c:valAx>
        <c:axId val="4395894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58914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7081.05</c:v>
                </c:pt>
                <c:pt idx="1">
                  <c:v>7440.11</c:v>
                </c:pt>
                <c:pt idx="2">
                  <c:v>8337</c:v>
                </c:pt>
                <c:pt idx="3">
                  <c:v>8146</c:v>
                </c:pt>
                <c:pt idx="4">
                  <c:v>6848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B3-4241-847F-E20806C5F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04792"/>
        <c:axId val="627505776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1872.44</c:v>
                </c:pt>
                <c:pt idx="1">
                  <c:v>1978.08</c:v>
                </c:pt>
                <c:pt idx="2">
                  <c:v>2211</c:v>
                </c:pt>
                <c:pt idx="3">
                  <c:v>2610</c:v>
                </c:pt>
                <c:pt idx="4">
                  <c:v>2841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9B3-4241-847F-E20806C5F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00856"/>
        <c:axId val="627501512"/>
      </c:lineChart>
      <c:catAx>
        <c:axId val="627504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7505776"/>
        <c:crosses val="autoZero"/>
        <c:auto val="1"/>
        <c:lblAlgn val="ctr"/>
        <c:lblOffset val="100"/>
        <c:noMultiLvlLbl val="0"/>
      </c:catAx>
      <c:valAx>
        <c:axId val="627505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4792"/>
        <c:crosses val="autoZero"/>
        <c:crossBetween val="between"/>
      </c:valAx>
      <c:valAx>
        <c:axId val="62750151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500856"/>
        <c:crosses val="max"/>
        <c:crossBetween val="between"/>
      </c:valAx>
      <c:catAx>
        <c:axId val="627500856"/>
        <c:scaling>
          <c:orientation val="minMax"/>
        </c:scaling>
        <c:delete val="1"/>
        <c:axPos val="b"/>
        <c:majorTickMark val="out"/>
        <c:minorTickMark val="none"/>
        <c:tickLblPos val="nextTo"/>
        <c:crossAx val="62750151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79486.399999999994</c:v>
                </c:pt>
                <c:pt idx="1">
                  <c:v>87686.82</c:v>
                </c:pt>
                <c:pt idx="2">
                  <c:v>77727</c:v>
                </c:pt>
                <c:pt idx="3">
                  <c:v>86276</c:v>
                </c:pt>
                <c:pt idx="4">
                  <c:v>125335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A77-4DAA-9248-E93F7FF78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498560"/>
        <c:axId val="627498888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A77-4DAA-9248-E93F7FF78A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7511024"/>
        <c:axId val="627508072"/>
      </c:lineChart>
      <c:catAx>
        <c:axId val="6274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27498888"/>
        <c:crosses val="autoZero"/>
        <c:auto val="1"/>
        <c:lblAlgn val="ctr"/>
        <c:lblOffset val="100"/>
        <c:noMultiLvlLbl val="0"/>
      </c:catAx>
      <c:valAx>
        <c:axId val="62749888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498560"/>
        <c:crosses val="autoZero"/>
        <c:crossBetween val="between"/>
      </c:valAx>
      <c:valAx>
        <c:axId val="627508072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627511024"/>
        <c:crosses val="max"/>
        <c:crossBetween val="between"/>
      </c:valAx>
      <c:catAx>
        <c:axId val="627511024"/>
        <c:scaling>
          <c:orientation val="minMax"/>
        </c:scaling>
        <c:delete val="1"/>
        <c:axPos val="b"/>
        <c:majorTickMark val="out"/>
        <c:minorTickMark val="none"/>
        <c:tickLblPos val="nextTo"/>
        <c:crossAx val="627508072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115195.63</c:v>
                </c:pt>
                <c:pt idx="1">
                  <c:v>129745.57</c:v>
                </c:pt>
                <c:pt idx="2">
                  <c:v>117140</c:v>
                </c:pt>
                <c:pt idx="3">
                  <c:v>131009</c:v>
                </c:pt>
                <c:pt idx="4">
                  <c:v>195059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7F1-4A71-9C84-8ECAE7F3CF2F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115663.30000000002</c:v>
                </c:pt>
                <c:pt idx="1">
                  <c:v>130872.68000000001</c:v>
                </c:pt>
                <c:pt idx="2">
                  <c:v>118326</c:v>
                </c:pt>
                <c:pt idx="3">
                  <c:v>132231</c:v>
                </c:pt>
                <c:pt idx="4">
                  <c:v>196195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7F1-4A71-9C84-8ECAE7F3CF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7509712"/>
        <c:axId val="627507744"/>
      </c:barChart>
      <c:catAx>
        <c:axId val="62750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7744"/>
        <c:crosses val="autoZero"/>
        <c:auto val="1"/>
        <c:lblAlgn val="ctr"/>
        <c:lblOffset val="100"/>
        <c:noMultiLvlLbl val="0"/>
      </c:catAx>
      <c:valAx>
        <c:axId val="627507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750971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154972.94000000003</c:v>
                </c:pt>
                <c:pt idx="2">
                  <c:v>173779.59000000003</c:v>
                </c:pt>
                <c:pt idx="3">
                  <c:v>188749.59000000003</c:v>
                </c:pt>
                <c:pt idx="4">
                  <c:v>217164.59000000003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2A-4A5D-9103-4CA39207FAD4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55139.630000000005</c:v>
                </c:pt>
                <c:pt idx="1">
                  <c:v>56710.81</c:v>
                </c:pt>
                <c:pt idx="2">
                  <c:v>71767</c:v>
                </c:pt>
                <c:pt idx="3">
                  <c:v>69507</c:v>
                </c:pt>
                <c:pt idx="4">
                  <c:v>68866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2A-4A5D-9103-4CA39207FA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3649192"/>
        <c:axId val="553595920"/>
      </c:barChart>
      <c:catAx>
        <c:axId val="553649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5920"/>
        <c:crosses val="autoZero"/>
        <c:auto val="1"/>
        <c:lblAlgn val="ctr"/>
        <c:lblOffset val="100"/>
        <c:noMultiLvlLbl val="0"/>
      </c:catAx>
      <c:valAx>
        <c:axId val="5535959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491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147823.33000000002</c:v>
                </c:pt>
                <c:pt idx="1">
                  <c:v>154972.94000000003</c:v>
                </c:pt>
                <c:pt idx="2">
                  <c:v>173779.59000000003</c:v>
                </c:pt>
                <c:pt idx="3">
                  <c:v>188749.59000000003</c:v>
                </c:pt>
                <c:pt idx="4">
                  <c:v>217164.59000000003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32-458B-88D5-3BF97785FBB1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37827.229999999996</c:v>
                </c:pt>
                <c:pt idx="1">
                  <c:v>38409.67</c:v>
                </c:pt>
                <c:pt idx="2">
                  <c:v>39434</c:v>
                </c:pt>
                <c:pt idx="3">
                  <c:v>53649</c:v>
                </c:pt>
                <c:pt idx="4">
                  <c:v>75994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58B-88D5-3BF97785F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61826584"/>
        <c:axId val="361825600"/>
      </c:barChart>
      <c:catAx>
        <c:axId val="361826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5600"/>
        <c:crosses val="autoZero"/>
        <c:auto val="1"/>
        <c:lblAlgn val="ctr"/>
        <c:lblOffset val="100"/>
        <c:noMultiLvlLbl val="0"/>
      </c:catAx>
      <c:valAx>
        <c:axId val="3618256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182658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147823.32999999999</c:v>
                </c:pt>
                <c:pt idx="1">
                  <c:v>154972.94</c:v>
                </c:pt>
                <c:pt idx="2">
                  <c:v>173779.59</c:v>
                </c:pt>
                <c:pt idx="3">
                  <c:v>188749.59</c:v>
                </c:pt>
                <c:pt idx="4">
                  <c:v>217164.59000000003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07-4164-87C6-D1707E74552F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97928.739999999991</c:v>
                </c:pt>
                <c:pt idx="1">
                  <c:v>75494.27</c:v>
                </c:pt>
                <c:pt idx="2">
                  <c:v>76250.02</c:v>
                </c:pt>
                <c:pt idx="3">
                  <c:v>87602.02</c:v>
                </c:pt>
                <c:pt idx="4">
                  <c:v>78748.02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07-4164-87C6-D1707E7455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8507624"/>
        <c:axId val="558512216"/>
      </c:barChart>
      <c:catAx>
        <c:axId val="5585076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12216"/>
        <c:crosses val="autoZero"/>
        <c:auto val="1"/>
        <c:lblAlgn val="ctr"/>
        <c:lblOffset val="100"/>
        <c:noMultiLvlLbl val="0"/>
      </c:catAx>
      <c:valAx>
        <c:axId val="55851221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8507624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147823.32999999999</c:v>
                </c:pt>
                <c:pt idx="1">
                  <c:v>154972.94</c:v>
                </c:pt>
                <c:pt idx="2">
                  <c:v>173779.59</c:v>
                </c:pt>
                <c:pt idx="3">
                  <c:v>188749.59</c:v>
                </c:pt>
                <c:pt idx="4">
                  <c:v>217164.59000000003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D7-4E31-A858-9301E89DA44A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49894.59</c:v>
                </c:pt>
                <c:pt idx="1">
                  <c:v>79478.669999999984</c:v>
                </c:pt>
                <c:pt idx="2">
                  <c:v>97529.569999999992</c:v>
                </c:pt>
                <c:pt idx="3">
                  <c:v>101147.56999999999</c:v>
                </c:pt>
                <c:pt idx="4">
                  <c:v>138416.57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CD7-4E31-A858-9301E89DA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62986928"/>
        <c:axId val="562987256"/>
      </c:barChart>
      <c:catAx>
        <c:axId val="562986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987256"/>
        <c:crosses val="autoZero"/>
        <c:auto val="1"/>
        <c:lblAlgn val="ctr"/>
        <c:lblOffset val="100"/>
        <c:noMultiLvlLbl val="0"/>
      </c:catAx>
      <c:valAx>
        <c:axId val="562987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6298692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103348.93</c:v>
                </c:pt>
                <c:pt idx="1">
                  <c:v>114411.05</c:v>
                </c:pt>
                <c:pt idx="2">
                  <c:v>103548</c:v>
                </c:pt>
                <c:pt idx="3">
                  <c:v>115413</c:v>
                </c:pt>
                <c:pt idx="4">
                  <c:v>174197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EE3-483A-97F0-F058F050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2842952"/>
        <c:axId val="452837048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115663.30000000002</c:v>
                </c:pt>
                <c:pt idx="1">
                  <c:v>130872.68000000001</c:v>
                </c:pt>
                <c:pt idx="2">
                  <c:v>118326</c:v>
                </c:pt>
                <c:pt idx="3">
                  <c:v>132231</c:v>
                </c:pt>
                <c:pt idx="4">
                  <c:v>196195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EE3-483A-97F0-F058F0505B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470880"/>
        <c:axId val="452837704"/>
      </c:lineChart>
      <c:catAx>
        <c:axId val="452842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37048"/>
        <c:crosses val="autoZero"/>
        <c:auto val="1"/>
        <c:lblAlgn val="ctr"/>
        <c:lblOffset val="100"/>
        <c:noMultiLvlLbl val="0"/>
      </c:catAx>
      <c:valAx>
        <c:axId val="452837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842952"/>
        <c:crosses val="autoZero"/>
        <c:crossBetween val="between"/>
      </c:valAx>
      <c:valAx>
        <c:axId val="45283770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470880"/>
        <c:crosses val="max"/>
        <c:crossBetween val="between"/>
      </c:valAx>
      <c:catAx>
        <c:axId val="453470880"/>
        <c:scaling>
          <c:orientation val="minMax"/>
        </c:scaling>
        <c:delete val="1"/>
        <c:axPos val="b"/>
        <c:majorTickMark val="out"/>
        <c:minorTickMark val="none"/>
        <c:tickLblPos val="nextTo"/>
        <c:crossAx val="45283770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3303.6300000000247</c:v>
                </c:pt>
                <c:pt idx="1">
                  <c:v>4995.6500000000051</c:v>
                </c:pt>
                <c:pt idx="2">
                  <c:v>2726</c:v>
                </c:pt>
                <c:pt idx="3">
                  <c:v>3015</c:v>
                </c:pt>
                <c:pt idx="4">
                  <c:v>6710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2A-4F7F-A7BE-B01C4ACD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3476456"/>
        <c:axId val="45347219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3597.3900000000249</c:v>
                </c:pt>
                <c:pt idx="1">
                  <c:v>5318.520000000005</c:v>
                </c:pt>
                <c:pt idx="2">
                  <c:v>3049</c:v>
                </c:pt>
                <c:pt idx="3">
                  <c:v>3237</c:v>
                </c:pt>
                <c:pt idx="4">
                  <c:v>6710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D2A-4F7F-A7BE-B01C4ACD51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836392"/>
        <c:axId val="453477440"/>
      </c:lineChart>
      <c:catAx>
        <c:axId val="453476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2192"/>
        <c:crosses val="autoZero"/>
        <c:auto val="1"/>
        <c:lblAlgn val="ctr"/>
        <c:lblOffset val="100"/>
        <c:noMultiLvlLbl val="0"/>
      </c:catAx>
      <c:valAx>
        <c:axId val="453472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476456"/>
        <c:crosses val="autoZero"/>
        <c:crossBetween val="between"/>
      </c:valAx>
      <c:valAx>
        <c:axId val="453477440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2836392"/>
        <c:crosses val="max"/>
        <c:crossBetween val="between"/>
      </c:valAx>
      <c:catAx>
        <c:axId val="452836392"/>
        <c:scaling>
          <c:orientation val="minMax"/>
        </c:scaling>
        <c:delete val="1"/>
        <c:axPos val="b"/>
        <c:majorTickMark val="out"/>
        <c:minorTickMark val="none"/>
        <c:tickLblPos val="nextTo"/>
        <c:crossAx val="453477440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F8F2-4A7B-BA45-3BB04BA5915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0.08</c:v>
                </c:pt>
                <c:pt idx="1">
                  <c:v>0.05</c:v>
                </c:pt>
                <c:pt idx="2">
                  <c:v>0.09</c:v>
                </c:pt>
                <c:pt idx="3">
                  <c:v>7.0000000000000007E-2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8F2-4A7B-BA45-3BB04BA59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2720"/>
        <c:axId val="449430264"/>
      </c:lineChart>
      <c:catAx>
        <c:axId val="449422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30264"/>
        <c:crosses val="autoZero"/>
        <c:auto val="0"/>
        <c:lblAlgn val="ctr"/>
        <c:lblOffset val="100"/>
        <c:noMultiLvlLbl val="0"/>
      </c:catAx>
      <c:valAx>
        <c:axId val="449430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4227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5D8-44B1-8A93-9576127AFE7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5D8-44B1-8A93-9576127AFE7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5D8-44B1-8A93-9576127AFE7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-1.2000000000000002</c:v>
                </c:pt>
                <c:pt idx="1">
                  <c:v>-0.27</c:v>
                </c:pt>
                <c:pt idx="2">
                  <c:v>-0.49</c:v>
                </c:pt>
                <c:pt idx="3">
                  <c:v>-0.10000000000000009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45D8-44B1-8A93-9576127AFE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2061224"/>
        <c:axId val="632059256"/>
      </c:lineChart>
      <c:catAx>
        <c:axId val="632061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9256"/>
        <c:crosses val="autoZero"/>
        <c:auto val="0"/>
        <c:lblAlgn val="ctr"/>
        <c:lblOffset val="100"/>
        <c:noMultiLvlLbl val="0"/>
      </c:catAx>
      <c:valAx>
        <c:axId val="63205925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6320612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BBF-4695-9CE4-254C0993127D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DBBF-4695-9CE4-254C0993127D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BBF-4695-9CE4-254C099312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35709.230000000003</c:v>
                </c:pt>
                <c:pt idx="1">
                  <c:v>42058.75</c:v>
                </c:pt>
                <c:pt idx="2">
                  <c:v>39413</c:v>
                </c:pt>
                <c:pt idx="3">
                  <c:v>44733</c:v>
                </c:pt>
                <c:pt idx="4">
                  <c:v>69724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BF-4695-9CE4-254C09931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421736"/>
        <c:axId val="449423048"/>
      </c:lineChart>
      <c:catAx>
        <c:axId val="449421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423048"/>
        <c:crosses val="autoZero"/>
        <c:auto val="0"/>
        <c:lblAlgn val="ctr"/>
        <c:lblOffset val="100"/>
        <c:noMultiLvlLbl val="0"/>
      </c:catAx>
      <c:valAx>
        <c:axId val="44942304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44942173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16A-4560-871D-4C05818FAB4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C16A-4560-871D-4C05818FAB4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C16A-4560-871D-4C05818FAB4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11846.7</c:v>
                </c:pt>
                <c:pt idx="1">
                  <c:v>15334.52</c:v>
                </c:pt>
                <c:pt idx="2">
                  <c:v>13592</c:v>
                </c:pt>
                <c:pt idx="3">
                  <c:v>15596</c:v>
                </c:pt>
                <c:pt idx="4">
                  <c:v>20862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16A-4560-871D-4C05818FA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5712"/>
        <c:axId val="364049320"/>
      </c:lineChart>
      <c:catAx>
        <c:axId val="36404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364049320"/>
        <c:crosses val="autoZero"/>
        <c:auto val="0"/>
        <c:lblAlgn val="ctr"/>
        <c:lblOffset val="100"/>
        <c:noMultiLvlLbl val="0"/>
      </c:catAx>
      <c:valAx>
        <c:axId val="3640493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36404571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AD8-4FFE-82B8-52D3E1803DB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AD8-4FFE-82B8-52D3E1803DB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AD8-4FFE-82B8-52D3E1803DB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0.02</c:v>
                </c:pt>
                <c:pt idx="1">
                  <c:v>0.03</c:v>
                </c:pt>
                <c:pt idx="2">
                  <c:v>0.02</c:v>
                </c:pt>
                <c:pt idx="3">
                  <c:v>0.02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AD8-4FFE-82B8-52D3E1803D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768544"/>
        <c:axId val="104319400"/>
      </c:lineChart>
      <c:catAx>
        <c:axId val="4407685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104319400"/>
        <c:crosses val="autoZero"/>
        <c:auto val="0"/>
        <c:lblAlgn val="ctr"/>
        <c:lblOffset val="100"/>
        <c:noMultiLvlLbl val="0"/>
      </c:catAx>
      <c:valAx>
        <c:axId val="1043194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07685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9A4-428A-995A-70672A0D703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9A4-428A-995A-70672A0D703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79A4-428A-995A-70672A0D703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7.0000000000000007E-2</c:v>
                </c:pt>
                <c:pt idx="1">
                  <c:v>0.1</c:v>
                </c:pt>
                <c:pt idx="2">
                  <c:v>7.0000000000000007E-2</c:v>
                </c:pt>
                <c:pt idx="3">
                  <c:v>7.0000000000000007E-2</c:v>
                </c:pt>
                <c:pt idx="4">
                  <c:v>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9A4-428A-995A-70672A0D70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64046696"/>
        <c:axId val="439793120"/>
      </c:lineChart>
      <c:catAx>
        <c:axId val="36404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39793120"/>
        <c:crosses val="autoZero"/>
        <c:auto val="0"/>
        <c:lblAlgn val="ctr"/>
        <c:lblOffset val="100"/>
        <c:noMultiLvlLbl val="0"/>
      </c:catAx>
      <c:valAx>
        <c:axId val="439793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364046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9803BCA-CC83-D82C-01E1-21D1749FA9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97C055-C10B-3C63-4D26-C9AD26A7AB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703674C-9B70-AFE2-2587-D9E615378B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817F9B3-31E8-E4B4-2323-10EDABF37C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EC2DFC-0E59-EB25-BF81-B9A29C51FC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40ABE5A-0611-0076-F191-A61AC395B9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A68266-B4D7-CA17-1EBD-B9F775797A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19EDF7-522A-1EF2-E979-03B014D072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B27BB6A-F962-770F-E55A-4EB7DFB87D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33E9C7-3B9C-4DE5-C165-4184AEB657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4DAFFF3-33D6-BA3B-9711-66D9B1CD824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0B098CD-D2C6-6048-E539-35E916B927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0EAACA6-CD4D-12B3-58F4-BAEA2D8D0F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DF0880-F033-0D2B-3680-76EA46DAF8F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F53F58-E9FD-6FCD-FFEB-7B30E5F20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C89318-27BE-037A-7783-A944B69FE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151D5A8-2BED-A6FB-6E7C-2504729017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61D8353-7B5E-0C14-7956-99F421C3D7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674E3F-2E88-78E9-BB00-72DA2DE462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2271960-2F91-5715-52A9-68C5254F4D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D857C25B-2618-F6BD-6882-6B810B774A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0E6B8DDB-8301-E7A4-0F3C-EC9A38E650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7C6D84-E59A-259C-7269-41C7A6E38A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F38833CD-A0A1-34B4-85FE-A769E46388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9C03C710-9FE5-798A-ED03-5B1F403BC0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ACDE1EF5-C707-6498-A03B-080B145920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205BA693-3C9E-5850-6415-0FDB27F02E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8148DE5B-1E73-B223-3E0D-BE5D45B05C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D497692E-4D2F-747D-486C-785824FCE7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84130F0D-52B1-1B53-2FDC-7AE7E70ED7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88571A41-9F14-32C8-18E6-85FC415DCD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6E1BE338-83DC-D6BA-FBAB-08B8C8A49B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98210E22-956A-13A2-285B-B525AAD4CF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1159FD-EF85-0FB2-60A9-7D7B76CC4E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07FDF39-15B4-E054-8FC5-C5E72913CA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6E6596-314F-F49B-BA5B-36CAB59944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EE536CB-02D6-0838-3823-ECA71FFE1B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AEE2F3-FB8C-0A64-315D-D79A78E026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4AF639-3358-2770-8ED8-2F92A747100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03EC8F-6D1D-477A-8274-7CC53A83C5D0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>
        <v>222.89</v>
      </c>
      <c r="D6">
        <v>222.39</v>
      </c>
      <c r="E6">
        <v>222</v>
      </c>
      <c r="F6">
        <v>222</v>
      </c>
      <c r="G6">
        <v>222</v>
      </c>
      <c r="H6" t="s">
        <v>1</v>
      </c>
    </row>
    <row r="7" spans="1:8" x14ac:dyDescent="0.25">
      <c r="B7" t="s">
        <v>6</v>
      </c>
      <c r="C7">
        <v>222.89</v>
      </c>
      <c r="D7">
        <v>222.39</v>
      </c>
      <c r="E7">
        <v>222</v>
      </c>
      <c r="F7">
        <v>222</v>
      </c>
      <c r="G7">
        <v>222</v>
      </c>
      <c r="H7" t="s">
        <v>1</v>
      </c>
    </row>
    <row r="8" spans="1:8" x14ac:dyDescent="0.25">
      <c r="A8" t="s">
        <v>90</v>
      </c>
      <c r="B8" t="s">
        <v>7</v>
      </c>
      <c r="C8" s="2">
        <v>54624.94</v>
      </c>
      <c r="D8" s="2">
        <v>57275.45</v>
      </c>
      <c r="E8" s="2">
        <v>58047</v>
      </c>
      <c r="F8" s="2">
        <v>66253</v>
      </c>
      <c r="G8" s="2">
        <v>77969</v>
      </c>
      <c r="H8" t="s">
        <v>1</v>
      </c>
    </row>
    <row r="9" spans="1:8" x14ac:dyDescent="0.25">
      <c r="B9" t="s">
        <v>8</v>
      </c>
      <c r="C9" s="2">
        <v>54624.94</v>
      </c>
      <c r="D9" s="2">
        <v>57275.45</v>
      </c>
      <c r="E9" s="2">
        <v>58047</v>
      </c>
      <c r="F9" s="2">
        <v>66253</v>
      </c>
      <c r="G9" s="2">
        <v>77969</v>
      </c>
      <c r="H9" t="s">
        <v>1</v>
      </c>
    </row>
    <row r="10" spans="1:8" x14ac:dyDescent="0.25">
      <c r="B10" t="s">
        <v>9</v>
      </c>
      <c r="C10" s="2">
        <v>54847.83</v>
      </c>
      <c r="D10" s="2">
        <v>57497.84</v>
      </c>
      <c r="E10" s="2">
        <v>58313</v>
      </c>
      <c r="F10" s="2">
        <v>66529</v>
      </c>
      <c r="G10" s="2">
        <v>78191</v>
      </c>
      <c r="H10" t="s">
        <v>1</v>
      </c>
    </row>
    <row r="11" spans="1:8" x14ac:dyDescent="0.25">
      <c r="A11" t="s">
        <v>10</v>
      </c>
      <c r="B11" t="s">
        <v>10</v>
      </c>
      <c r="C11">
        <v>8.64</v>
      </c>
      <c r="D11">
        <v>9.48</v>
      </c>
      <c r="E11">
        <v>10</v>
      </c>
      <c r="F11">
        <v>10</v>
      </c>
      <c r="G11">
        <v>11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47874.26</v>
      </c>
      <c r="D13" s="2">
        <v>48031.61</v>
      </c>
      <c r="E13" s="2">
        <v>58379</v>
      </c>
      <c r="F13" s="2">
        <v>58985</v>
      </c>
      <c r="G13" s="2">
        <v>51635</v>
      </c>
      <c r="H13" t="s">
        <v>1</v>
      </c>
    </row>
    <row r="14" spans="1:8" x14ac:dyDescent="0.25">
      <c r="A14" t="s">
        <v>91</v>
      </c>
      <c r="B14" t="s">
        <v>13</v>
      </c>
      <c r="C14" s="2">
        <v>3867.21</v>
      </c>
      <c r="D14" s="2">
        <v>4453.47</v>
      </c>
      <c r="E14" s="2">
        <v>4671</v>
      </c>
      <c r="F14" s="2">
        <v>4493</v>
      </c>
      <c r="G14" s="2">
        <v>5631</v>
      </c>
      <c r="H14" t="s">
        <v>1</v>
      </c>
    </row>
    <row r="15" spans="1:8" x14ac:dyDescent="0.25">
      <c r="A15" t="s">
        <v>92</v>
      </c>
      <c r="B15" t="s">
        <v>14</v>
      </c>
      <c r="C15" s="2">
        <v>1383.67</v>
      </c>
      <c r="D15" s="2">
        <v>1456.36</v>
      </c>
      <c r="E15" s="2">
        <v>2597</v>
      </c>
      <c r="F15" s="2">
        <v>3039</v>
      </c>
      <c r="G15" s="2">
        <v>3473</v>
      </c>
      <c r="H15" t="s">
        <v>1</v>
      </c>
    </row>
    <row r="16" spans="1:8" x14ac:dyDescent="0.25">
      <c r="A16" t="s">
        <v>93</v>
      </c>
      <c r="B16" t="s">
        <v>15</v>
      </c>
      <c r="C16" s="2">
        <v>7081.05</v>
      </c>
      <c r="D16" s="2">
        <v>7440.11</v>
      </c>
      <c r="E16" s="2">
        <v>8337</v>
      </c>
      <c r="F16" s="2">
        <v>8146</v>
      </c>
      <c r="G16" s="2">
        <v>6848</v>
      </c>
      <c r="H16" t="s">
        <v>1</v>
      </c>
    </row>
    <row r="17" spans="1:8" x14ac:dyDescent="0.25">
      <c r="B17" t="s">
        <v>16</v>
      </c>
      <c r="C17" s="2">
        <v>60206.19</v>
      </c>
      <c r="D17" s="2">
        <v>61381.55</v>
      </c>
      <c r="E17" s="2">
        <v>73984</v>
      </c>
      <c r="F17" s="2">
        <v>74663</v>
      </c>
      <c r="G17" s="2">
        <v>67587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3398.16</v>
      </c>
      <c r="D19" s="2">
        <v>4225.7299999999996</v>
      </c>
      <c r="E19" s="2">
        <v>8717</v>
      </c>
      <c r="F19" s="2">
        <v>6029</v>
      </c>
      <c r="G19" s="2">
        <v>11600</v>
      </c>
      <c r="H19" t="s">
        <v>1</v>
      </c>
    </row>
    <row r="20" spans="1:8" x14ac:dyDescent="0.25">
      <c r="A20" t="s">
        <v>92</v>
      </c>
      <c r="B20" t="s">
        <v>19</v>
      </c>
      <c r="C20" s="2">
        <v>20404.8</v>
      </c>
      <c r="D20" s="2">
        <v>20722.849999999999</v>
      </c>
      <c r="E20" s="2">
        <v>18300</v>
      </c>
      <c r="F20" s="2">
        <v>28280</v>
      </c>
      <c r="G20" s="2">
        <v>41382</v>
      </c>
      <c r="H20" t="s">
        <v>1</v>
      </c>
    </row>
    <row r="21" spans="1:8" x14ac:dyDescent="0.25">
      <c r="A21" t="s">
        <v>92</v>
      </c>
      <c r="B21" t="s">
        <v>20</v>
      </c>
      <c r="C21" s="2">
        <v>7085.27</v>
      </c>
      <c r="D21" s="2">
        <v>6812.27</v>
      </c>
      <c r="E21" s="2">
        <v>7989</v>
      </c>
      <c r="F21" s="2">
        <v>11574</v>
      </c>
      <c r="G21" s="2">
        <v>21450</v>
      </c>
      <c r="H21" t="s">
        <v>1</v>
      </c>
    </row>
    <row r="22" spans="1:8" x14ac:dyDescent="0.25">
      <c r="A22" t="s">
        <v>93</v>
      </c>
      <c r="B22" t="s">
        <v>21</v>
      </c>
      <c r="C22" s="2">
        <v>1872.44</v>
      </c>
      <c r="D22" s="2">
        <v>1978.08</v>
      </c>
      <c r="E22" s="2">
        <v>2211</v>
      </c>
      <c r="F22" s="2">
        <v>2610</v>
      </c>
      <c r="G22" s="2">
        <v>2841</v>
      </c>
      <c r="H22" t="s">
        <v>1</v>
      </c>
    </row>
    <row r="23" spans="1:8" x14ac:dyDescent="0.25">
      <c r="B23" t="s">
        <v>22</v>
      </c>
      <c r="C23" s="2">
        <v>32760.67</v>
      </c>
      <c r="D23" s="2">
        <v>33738.93</v>
      </c>
      <c r="E23" s="2">
        <v>37217</v>
      </c>
      <c r="F23" s="2">
        <v>48493</v>
      </c>
      <c r="G23" s="2">
        <v>77273</v>
      </c>
      <c r="H23" t="s">
        <v>1</v>
      </c>
    </row>
    <row r="24" spans="1:8" x14ac:dyDescent="0.25">
      <c r="B24" t="s">
        <v>23</v>
      </c>
      <c r="C24" s="2">
        <v>147827.26999999999</v>
      </c>
      <c r="D24" s="2">
        <v>152631.69</v>
      </c>
      <c r="E24" s="2">
        <v>169528</v>
      </c>
      <c r="F24" s="2">
        <v>189699</v>
      </c>
      <c r="G24" s="2">
        <v>223062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63910.31</v>
      </c>
      <c r="D27" s="2">
        <v>64208.08</v>
      </c>
      <c r="E27" s="2">
        <v>66089</v>
      </c>
      <c r="F27" s="2">
        <v>70870</v>
      </c>
      <c r="G27" s="2">
        <v>87854</v>
      </c>
      <c r="H27" t="s">
        <v>1</v>
      </c>
    </row>
    <row r="28" spans="1:8" x14ac:dyDescent="0.25">
      <c r="A28" t="s">
        <v>29</v>
      </c>
      <c r="B28" t="s">
        <v>27</v>
      </c>
      <c r="C28">
        <v>3348.68</v>
      </c>
      <c r="D28" s="2">
        <v>3076.53</v>
      </c>
      <c r="E28" s="2">
        <v>3008</v>
      </c>
      <c r="F28" s="2">
        <v>6082</v>
      </c>
      <c r="G28" s="2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1982.98</v>
      </c>
      <c r="D29" s="2">
        <v>3974.63</v>
      </c>
      <c r="E29" s="2">
        <v>7610</v>
      </c>
      <c r="F29" s="2">
        <v>10013</v>
      </c>
      <c r="G29" s="2">
        <v>0</v>
      </c>
      <c r="H29" t="s">
        <v>1</v>
      </c>
    </row>
    <row r="30" spans="1:8" x14ac:dyDescent="0.25">
      <c r="B30" t="s">
        <v>29</v>
      </c>
      <c r="C30" s="2">
        <v>69321.929999999993</v>
      </c>
      <c r="D30" s="2">
        <v>71381.72</v>
      </c>
      <c r="E30" s="2">
        <v>76818</v>
      </c>
      <c r="F30" s="2">
        <v>87154</v>
      </c>
      <c r="G30" s="2">
        <v>87854</v>
      </c>
      <c r="H30" t="s">
        <v>1</v>
      </c>
    </row>
    <row r="31" spans="1:8" x14ac:dyDescent="0.25">
      <c r="A31" t="s">
        <v>94</v>
      </c>
      <c r="B31" t="s">
        <v>30</v>
      </c>
      <c r="C31" s="2">
        <v>6877.83</v>
      </c>
      <c r="D31" s="2">
        <v>5156.7</v>
      </c>
      <c r="E31" s="2">
        <v>3132</v>
      </c>
      <c r="F31" s="2">
        <v>7716</v>
      </c>
      <c r="G31" s="2">
        <v>8667</v>
      </c>
      <c r="H31" t="s">
        <v>1</v>
      </c>
    </row>
    <row r="32" spans="1:8" x14ac:dyDescent="0.25">
      <c r="A32" t="s">
        <v>95</v>
      </c>
      <c r="B32" t="s">
        <v>31</v>
      </c>
      <c r="C32" s="2">
        <v>813.45</v>
      </c>
      <c r="D32">
        <v>802.94</v>
      </c>
      <c r="E32">
        <v>910</v>
      </c>
      <c r="F32">
        <v>887</v>
      </c>
      <c r="G32">
        <v>1207</v>
      </c>
      <c r="H32" t="s">
        <v>1</v>
      </c>
    </row>
    <row r="33" spans="1:8" x14ac:dyDescent="0.25">
      <c r="A33" t="s">
        <v>95</v>
      </c>
      <c r="B33" t="s">
        <v>32</v>
      </c>
      <c r="C33">
        <v>77.48</v>
      </c>
      <c r="D33">
        <v>72.53</v>
      </c>
      <c r="E33">
        <v>12</v>
      </c>
      <c r="F33">
        <v>12</v>
      </c>
      <c r="G33">
        <v>50</v>
      </c>
      <c r="H33" t="s">
        <v>1</v>
      </c>
    </row>
    <row r="34" spans="1:8" x14ac:dyDescent="0.25">
      <c r="A34" t="s">
        <v>95</v>
      </c>
      <c r="B34" t="s">
        <v>33</v>
      </c>
      <c r="C34" s="2">
        <v>2943.89</v>
      </c>
      <c r="D34" s="2">
        <v>2649.69</v>
      </c>
      <c r="E34" s="2">
        <v>2276</v>
      </c>
      <c r="F34" s="2">
        <v>2985</v>
      </c>
      <c r="G34" s="2">
        <v>2776</v>
      </c>
      <c r="H34" t="s">
        <v>1</v>
      </c>
    </row>
    <row r="35" spans="1:8" x14ac:dyDescent="0.25">
      <c r="B35" t="s">
        <v>34</v>
      </c>
      <c r="C35" s="2">
        <v>97864.02</v>
      </c>
      <c r="D35" s="2">
        <v>98638.19</v>
      </c>
      <c r="E35" s="2">
        <v>103246</v>
      </c>
      <c r="F35" s="2">
        <v>122071</v>
      </c>
      <c r="G35" s="2">
        <v>124519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 s="2">
        <v>3903.48</v>
      </c>
      <c r="D37" s="2">
        <v>3855.31</v>
      </c>
      <c r="E37" s="2">
        <v>6279</v>
      </c>
      <c r="F37" s="2">
        <v>9417</v>
      </c>
      <c r="G37" s="2">
        <v>5452</v>
      </c>
      <c r="H37" t="s">
        <v>1</v>
      </c>
    </row>
    <row r="38" spans="1:8" x14ac:dyDescent="0.25">
      <c r="A38" t="s">
        <v>96</v>
      </c>
      <c r="B38" t="s">
        <v>37</v>
      </c>
      <c r="C38" s="2">
        <v>21631.39</v>
      </c>
      <c r="D38" s="2">
        <v>22193.79</v>
      </c>
      <c r="E38" s="2">
        <v>22384</v>
      </c>
      <c r="F38" s="2">
        <v>30668</v>
      </c>
      <c r="G38" s="2">
        <v>44483</v>
      </c>
      <c r="H38" t="s">
        <v>1</v>
      </c>
    </row>
    <row r="39" spans="1:8" x14ac:dyDescent="0.25">
      <c r="A39" t="s">
        <v>96</v>
      </c>
      <c r="B39" t="s">
        <v>38</v>
      </c>
      <c r="C39" s="2">
        <v>9959.81</v>
      </c>
      <c r="D39" s="2">
        <v>11459.76</v>
      </c>
      <c r="E39" s="2">
        <v>9345</v>
      </c>
      <c r="F39" s="2">
        <v>12959</v>
      </c>
      <c r="G39" s="2">
        <v>21076</v>
      </c>
      <c r="H39" t="s">
        <v>1</v>
      </c>
    </row>
    <row r="40" spans="1:8" x14ac:dyDescent="0.25">
      <c r="A40" t="s">
        <v>96</v>
      </c>
      <c r="B40" t="s">
        <v>39</v>
      </c>
      <c r="C40" s="2">
        <v>8057.76</v>
      </c>
      <c r="D40" s="2">
        <v>9786.56</v>
      </c>
      <c r="E40" s="2">
        <v>21569</v>
      </c>
      <c r="F40" s="2">
        <v>8809</v>
      </c>
      <c r="G40" s="2">
        <v>17392</v>
      </c>
      <c r="H40" t="s">
        <v>1</v>
      </c>
    </row>
    <row r="41" spans="1:8" x14ac:dyDescent="0.25">
      <c r="A41" t="s">
        <v>95</v>
      </c>
      <c r="B41" t="s">
        <v>40</v>
      </c>
      <c r="C41">
        <v>57.95</v>
      </c>
      <c r="D41">
        <v>57.74</v>
      </c>
      <c r="E41">
        <v>55</v>
      </c>
      <c r="F41">
        <v>47</v>
      </c>
      <c r="G41">
        <v>7</v>
      </c>
      <c r="H41" t="s">
        <v>1</v>
      </c>
    </row>
    <row r="42" spans="1:8" x14ac:dyDescent="0.25">
      <c r="A42" t="s">
        <v>95</v>
      </c>
      <c r="B42" t="s">
        <v>41</v>
      </c>
      <c r="C42" s="2">
        <v>6352.86</v>
      </c>
      <c r="D42" s="2">
        <v>6640.34</v>
      </c>
      <c r="E42" s="2">
        <v>6650</v>
      </c>
      <c r="F42" s="2">
        <v>5728</v>
      </c>
      <c r="G42" s="2">
        <v>10133</v>
      </c>
      <c r="H42" t="s">
        <v>1</v>
      </c>
    </row>
    <row r="43" spans="1:8" x14ac:dyDescent="0.25">
      <c r="B43" t="s">
        <v>42</v>
      </c>
      <c r="C43" s="2">
        <v>49963.25</v>
      </c>
      <c r="D43" s="2">
        <v>53993.5</v>
      </c>
      <c r="E43" s="2">
        <v>66282</v>
      </c>
      <c r="F43" s="2">
        <v>67628</v>
      </c>
      <c r="G43" s="2">
        <v>98543</v>
      </c>
      <c r="H43" t="s">
        <v>1</v>
      </c>
    </row>
    <row r="44" spans="1:8" x14ac:dyDescent="0.25">
      <c r="B44" t="s">
        <v>43</v>
      </c>
      <c r="C44" s="2">
        <v>147827.26999999999</v>
      </c>
      <c r="D44" s="2">
        <v>152631.69</v>
      </c>
      <c r="E44" s="2">
        <v>169528</v>
      </c>
      <c r="F44" s="2">
        <v>189699</v>
      </c>
      <c r="G44" s="2">
        <v>223062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37896.51</v>
      </c>
      <c r="D47" s="2">
        <v>56672.07</v>
      </c>
      <c r="E47" s="2">
        <v>69188</v>
      </c>
      <c r="F47" s="2">
        <v>75698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49.18</v>
      </c>
      <c r="D49">
        <v>49.18</v>
      </c>
      <c r="E49">
        <v>49.18</v>
      </c>
      <c r="F49">
        <v>49.18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6798.17</v>
      </c>
      <c r="D51" s="2">
        <v>5004.62</v>
      </c>
      <c r="E51" s="2">
        <v>3011</v>
      </c>
      <c r="F51" s="2">
        <v>7611</v>
      </c>
      <c r="G51" s="2">
        <v>0</v>
      </c>
      <c r="H51" t="s">
        <v>1</v>
      </c>
    </row>
    <row r="52" spans="2:8" x14ac:dyDescent="0.25">
      <c r="B52" t="s">
        <v>51</v>
      </c>
      <c r="C52">
        <v>62.02</v>
      </c>
      <c r="D52">
        <v>82.66</v>
      </c>
      <c r="E52">
        <v>66</v>
      </c>
      <c r="F52">
        <v>53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3198.05</v>
      </c>
      <c r="D54" s="2">
        <v>3541.28</v>
      </c>
      <c r="E54" s="2">
        <v>6279</v>
      </c>
      <c r="F54" s="2">
        <v>9417</v>
      </c>
      <c r="G54" s="2">
        <v>0</v>
      </c>
      <c r="H54" t="s">
        <v>1</v>
      </c>
    </row>
    <row r="55" spans="2:8" x14ac:dyDescent="0.25">
      <c r="B55" t="s">
        <v>54</v>
      </c>
      <c r="C55">
        <v>702.71</v>
      </c>
      <c r="D55">
        <v>312.2</v>
      </c>
      <c r="E55">
        <v>0</v>
      </c>
      <c r="F55">
        <v>0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85734-1E0D-4D67-9077-E7F5DEB98AA9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293.76</v>
      </c>
      <c r="D6" s="16">
        <f>'Income Statement'!D28</f>
        <v>269.45999999999998</v>
      </c>
      <c r="E6" s="16">
        <f>'Income Statement'!E28</f>
        <v>267</v>
      </c>
      <c r="F6" s="16">
        <f>'Income Statement'!F28</f>
        <v>222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</row>
    <row r="8" spans="2:7" ht="18.75" x14ac:dyDescent="0.25">
      <c r="B8" s="15" t="s">
        <v>148</v>
      </c>
      <c r="C8" s="16">
        <f>ROUND(C6/C7, 2)</f>
        <v>2.2000000000000002</v>
      </c>
      <c r="D8" s="16">
        <f t="shared" ref="D8:G8" si="0">ROUND(D6/D7, 2)</f>
        <v>1.27</v>
      </c>
      <c r="E8" s="16">
        <f t="shared" si="0"/>
        <v>1.49</v>
      </c>
      <c r="F8" s="16">
        <f t="shared" si="0"/>
        <v>1.1000000000000001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3597.3900000000249</v>
      </c>
      <c r="D9" s="16">
        <f>'Income Statement'!D27</f>
        <v>5318.520000000005</v>
      </c>
      <c r="E9" s="16">
        <f>'Income Statement'!E27</f>
        <v>3049</v>
      </c>
      <c r="F9" s="16">
        <f>'Income Statement'!F27</f>
        <v>3237</v>
      </c>
      <c r="G9" s="16">
        <f>'Income Statement'!G27</f>
        <v>6710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133.23666666666759</v>
      </c>
      <c r="D10" s="16">
        <f>'Income Statement'!D35</f>
        <v>212.74080000000021</v>
      </c>
      <c r="E10" s="16">
        <f>'Income Statement'!E35</f>
        <v>179.35294117647058</v>
      </c>
      <c r="F10" s="16">
        <f>'Income Statement'!F35</f>
        <v>202.3125</v>
      </c>
      <c r="G10" s="16">
        <f>'Income Statement'!G35</f>
        <v>108.2258064516129</v>
      </c>
    </row>
    <row r="11" spans="2:7" ht="18.75" x14ac:dyDescent="0.25">
      <c r="B11" s="15" t="s">
        <v>146</v>
      </c>
      <c r="C11" s="16">
        <f>C9/C10</f>
        <v>27</v>
      </c>
      <c r="D11" s="16">
        <f t="shared" ref="D11:G11" si="1">D9/D10</f>
        <v>25</v>
      </c>
      <c r="E11" s="16">
        <f t="shared" si="1"/>
        <v>17</v>
      </c>
      <c r="F11" s="16">
        <f t="shared" si="1"/>
        <v>16</v>
      </c>
      <c r="G11" s="16">
        <f t="shared" si="1"/>
        <v>62.000000000000007</v>
      </c>
    </row>
    <row r="12" spans="2:7" ht="18.75" x14ac:dyDescent="0.25">
      <c r="B12" s="17" t="s">
        <v>152</v>
      </c>
      <c r="C12" s="17">
        <f>ROUND(C8/C11, 2)</f>
        <v>0.08</v>
      </c>
      <c r="D12" s="17">
        <f t="shared" ref="D12:G12" si="2">ROUND(D8/D11, 2)</f>
        <v>0.05</v>
      </c>
      <c r="E12" s="17">
        <f t="shared" si="2"/>
        <v>0.09</v>
      </c>
      <c r="F12" s="17">
        <f t="shared" si="2"/>
        <v>7.0000000000000007E-2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9D8E5-4A00-4F9D-A5A2-626DDFD210FB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3" width="13.5703125" bestFit="1" customWidth="1"/>
    <col min="4" max="6" width="11.8554687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293.76</v>
      </c>
      <c r="D6" s="16">
        <f>'Income Statement'!D28</f>
        <v>269.45999999999998</v>
      </c>
      <c r="E6" s="16">
        <f>'Income Statement'!E28</f>
        <v>267</v>
      </c>
      <c r="F6" s="16">
        <f>'Income Statement'!F28</f>
        <v>222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</row>
    <row r="8" spans="2:7" ht="18.75" x14ac:dyDescent="0.25">
      <c r="B8" s="15" t="s">
        <v>154</v>
      </c>
      <c r="C8" s="16">
        <f>ROUND(C6/C7, 2)</f>
        <v>2.2000000000000002</v>
      </c>
      <c r="D8" s="16">
        <f t="shared" ref="D8:G8" si="0">ROUND(D6/D7, 2)</f>
        <v>1.27</v>
      </c>
      <c r="E8" s="16">
        <f t="shared" si="0"/>
        <v>1.49</v>
      </c>
      <c r="F8" s="16">
        <f t="shared" si="0"/>
        <v>1.1000000000000001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-1.2000000000000002</v>
      </c>
      <c r="D9" s="27">
        <f t="shared" ref="D9:G9" si="1">1-D8</f>
        <v>-0.27</v>
      </c>
      <c r="E9" s="27">
        <f t="shared" si="1"/>
        <v>-0.49</v>
      </c>
      <c r="F9" s="27">
        <f t="shared" si="1"/>
        <v>-0.10000000000000009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EAD15B-74C9-4792-8BA5-C0928B7D4AF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79486.399999999994</v>
      </c>
      <c r="D7" s="16">
        <f>'Income Statement'!D11</f>
        <v>87686.82</v>
      </c>
      <c r="E7" s="16">
        <f>'Income Statement'!E11</f>
        <v>77727</v>
      </c>
      <c r="F7" s="16">
        <f>'Income Statement'!F11</f>
        <v>86276</v>
      </c>
      <c r="G7" s="16">
        <f>'Income Statement'!G11</f>
        <v>125335</v>
      </c>
    </row>
    <row r="8" spans="2:7" ht="18.75" x14ac:dyDescent="0.25">
      <c r="B8" s="17" t="s">
        <v>157</v>
      </c>
      <c r="C8" s="28">
        <f>ROUND(C6- C7, 2)</f>
        <v>35709.230000000003</v>
      </c>
      <c r="D8" s="28">
        <f t="shared" ref="D8:G8" si="0">ROUND(D6- D7, 2)</f>
        <v>42058.75</v>
      </c>
      <c r="E8" s="28">
        <f t="shared" si="0"/>
        <v>39413</v>
      </c>
      <c r="F8" s="28">
        <f t="shared" si="0"/>
        <v>44733</v>
      </c>
      <c r="G8" s="28">
        <f t="shared" si="0"/>
        <v>69724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02A19-85D5-4E73-8772-1A90081ECF73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'Income Statement'!B15</f>
        <v>Total Expenditure</v>
      </c>
      <c r="C7" s="16">
        <f>'Income Statement'!C15</f>
        <v>103348.93</v>
      </c>
      <c r="D7" s="16">
        <f>'Income Statement'!D15</f>
        <v>114411.05</v>
      </c>
      <c r="E7" s="16">
        <f>'Income Statement'!E15</f>
        <v>103548</v>
      </c>
      <c r="F7" s="16">
        <f>'Income Statement'!F15</f>
        <v>115413</v>
      </c>
      <c r="G7" s="16">
        <f>'Income Statement'!G15</f>
        <v>174197</v>
      </c>
    </row>
    <row r="8" spans="2:7" ht="18.75" x14ac:dyDescent="0.25">
      <c r="B8" s="17" t="s">
        <v>159</v>
      </c>
      <c r="C8" s="28">
        <f>ROUND(C6- C7, 2)</f>
        <v>11846.7</v>
      </c>
      <c r="D8" s="28">
        <f t="shared" ref="D8:G8" si="0">ROUND(D6- D7, 2)</f>
        <v>15334.52</v>
      </c>
      <c r="E8" s="28">
        <f t="shared" si="0"/>
        <v>13592</v>
      </c>
      <c r="F8" s="28">
        <f t="shared" si="0"/>
        <v>15596</v>
      </c>
      <c r="G8" s="28">
        <f t="shared" si="0"/>
        <v>20862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D63846-B373-4596-A46F-C8CA826BDD8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3597.3900000000249</v>
      </c>
      <c r="D6" s="16">
        <f>'Income Statement'!D27</f>
        <v>5318.520000000005</v>
      </c>
      <c r="E6" s="16">
        <f>'Income Statement'!E27</f>
        <v>3049</v>
      </c>
      <c r="F6" s="16">
        <f>'Income Statement'!F27</f>
        <v>3237</v>
      </c>
      <c r="G6" s="16">
        <f>'Income Statement'!G27</f>
        <v>6710</v>
      </c>
    </row>
    <row r="7" spans="2:7" ht="18.75" x14ac:dyDescent="0.25">
      <c r="B7" s="15" t="str">
        <f>'Balance Sheet'!B40</f>
        <v>Total Assets</v>
      </c>
      <c r="C7" s="16">
        <f>'Balance Sheet'!C40</f>
        <v>147823.32999999999</v>
      </c>
      <c r="D7" s="16">
        <f>'Balance Sheet'!D40</f>
        <v>154972.94</v>
      </c>
      <c r="E7" s="16">
        <f>'Balance Sheet'!E40</f>
        <v>173779.59</v>
      </c>
      <c r="F7" s="16">
        <f>'Balance Sheet'!F40</f>
        <v>188749.59</v>
      </c>
      <c r="G7" s="16">
        <f>'Balance Sheet'!G40</f>
        <v>217164.59000000003</v>
      </c>
    </row>
    <row r="8" spans="2:7" ht="18.75" x14ac:dyDescent="0.25">
      <c r="B8" s="17" t="s">
        <v>161</v>
      </c>
      <c r="C8" s="27">
        <f>ROUND(C6/ C7, 2)</f>
        <v>0.02</v>
      </c>
      <c r="D8" s="27">
        <f t="shared" ref="D8:G8" si="0">ROUND(D6/ D7, 2)</f>
        <v>0.03</v>
      </c>
      <c r="E8" s="27">
        <f t="shared" si="0"/>
        <v>0.02</v>
      </c>
      <c r="F8" s="27">
        <f t="shared" si="0"/>
        <v>0.02</v>
      </c>
      <c r="G8" s="27">
        <f t="shared" si="0"/>
        <v>0.03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30F3AC-9650-40B6-A149-25327EB5D3C9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7808.1300000000247</v>
      </c>
      <c r="D6" s="16">
        <f>'Income Statement'!D19</f>
        <v>11684.650000000005</v>
      </c>
      <c r="E6" s="16">
        <f>'Income Statement'!E19</f>
        <v>9687</v>
      </c>
      <c r="F6" s="16">
        <f>'Income Statement'!F19</f>
        <v>10190</v>
      </c>
      <c r="G6" s="16">
        <f>'Income Statement'!G19</f>
        <v>15269</v>
      </c>
    </row>
    <row r="7" spans="2:7" ht="18.75" x14ac:dyDescent="0.25">
      <c r="B7" s="15" t="str">
        <f>'Balance Sheet'!B13</f>
        <v>Total Debt</v>
      </c>
      <c r="C7" s="16">
        <f>'Balance Sheet'!C13</f>
        <v>55139.630000000005</v>
      </c>
      <c r="D7" s="16">
        <f>'Balance Sheet'!D13</f>
        <v>56710.81</v>
      </c>
      <c r="E7" s="16">
        <f>'Balance Sheet'!E13</f>
        <v>71767</v>
      </c>
      <c r="F7" s="16">
        <f>'Balance Sheet'!F13</f>
        <v>69507</v>
      </c>
      <c r="G7" s="16">
        <f>'Balance Sheet'!G13</f>
        <v>68866</v>
      </c>
    </row>
    <row r="8" spans="2:7" ht="18.75" x14ac:dyDescent="0.25">
      <c r="B8" s="15" t="str">
        <f>'Balance Sheet'!B9</f>
        <v>Net Worth</v>
      </c>
      <c r="C8" s="16">
        <f>'Balance Sheet'!C9</f>
        <v>54847.83</v>
      </c>
      <c r="D8" s="16">
        <f>'Balance Sheet'!D9</f>
        <v>59842.98000000001</v>
      </c>
      <c r="E8" s="16">
        <f>'Balance Sheet'!E9</f>
        <v>62568.590000000011</v>
      </c>
      <c r="F8" s="16">
        <f>'Balance Sheet'!F9</f>
        <v>65583.590000000011</v>
      </c>
      <c r="G8" s="16">
        <f>'Balance Sheet'!G9</f>
        <v>72293.590000000011</v>
      </c>
    </row>
    <row r="9" spans="2:7" ht="18.75" x14ac:dyDescent="0.25">
      <c r="B9" s="17" t="s">
        <v>163</v>
      </c>
      <c r="C9" s="27">
        <f>ROUND(C6/ (C7+ C7), 2)</f>
        <v>7.0000000000000007E-2</v>
      </c>
      <c r="D9" s="27">
        <f t="shared" ref="D9:G9" si="0">ROUND(D6/ (D7+ D7), 2)</f>
        <v>0.1</v>
      </c>
      <c r="E9" s="27">
        <f t="shared" si="0"/>
        <v>7.0000000000000007E-2</v>
      </c>
      <c r="F9" s="27">
        <f t="shared" si="0"/>
        <v>7.0000000000000007E-2</v>
      </c>
      <c r="G9" s="27">
        <f t="shared" si="0"/>
        <v>0.11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04BC-D7D2-42AD-8948-2C99D342833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3597.3900000000249</v>
      </c>
      <c r="D6" s="16">
        <f>'Income Statement'!D27</f>
        <v>5318.520000000005</v>
      </c>
      <c r="E6" s="16">
        <f>'Income Statement'!E27</f>
        <v>3049</v>
      </c>
      <c r="F6" s="16">
        <f>'Income Statement'!F27</f>
        <v>3237</v>
      </c>
      <c r="G6" s="16">
        <f>'Income Statement'!G27</f>
        <v>6710</v>
      </c>
    </row>
    <row r="7" spans="2:7" ht="18.75" x14ac:dyDescent="0.25">
      <c r="B7" s="15" t="str">
        <f>'Balance Sheet'!B9</f>
        <v>Net Worth</v>
      </c>
      <c r="C7" s="16">
        <f>'Balance Sheet'!C9</f>
        <v>54847.83</v>
      </c>
      <c r="D7" s="16">
        <f>'Balance Sheet'!D9</f>
        <v>59842.98000000001</v>
      </c>
      <c r="E7" s="16">
        <f>'Balance Sheet'!E9</f>
        <v>62568.590000000011</v>
      </c>
      <c r="F7" s="16">
        <f>'Balance Sheet'!F9</f>
        <v>65583.590000000011</v>
      </c>
      <c r="G7" s="16">
        <f>'Balance Sheet'!G9</f>
        <v>72293.590000000011</v>
      </c>
    </row>
    <row r="8" spans="2:7" ht="18.75" x14ac:dyDescent="0.25">
      <c r="B8" s="17" t="s">
        <v>165</v>
      </c>
      <c r="C8" s="27">
        <f>ROUND(C6/ (C7+ C7), 2)</f>
        <v>0.03</v>
      </c>
      <c r="D8" s="27">
        <f t="shared" ref="D8:G8" si="0">ROUND(D6/ (D7+ D7), 2)</f>
        <v>0.04</v>
      </c>
      <c r="E8" s="27">
        <f t="shared" si="0"/>
        <v>0.02</v>
      </c>
      <c r="F8" s="27">
        <f t="shared" si="0"/>
        <v>0.02</v>
      </c>
      <c r="G8" s="27">
        <f t="shared" si="0"/>
        <v>0.05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8E01-24FD-44F1-822D-8992A720F3E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55139.630000000005</v>
      </c>
      <c r="D6" s="16">
        <f>'Balance Sheet'!D13</f>
        <v>56710.81</v>
      </c>
      <c r="E6" s="16">
        <f>'Balance Sheet'!E13</f>
        <v>71767</v>
      </c>
      <c r="F6" s="16">
        <f>'Balance Sheet'!F13</f>
        <v>69507</v>
      </c>
      <c r="G6" s="16">
        <f>'Balance Sheet'!G13</f>
        <v>68866</v>
      </c>
    </row>
    <row r="7" spans="2:7" ht="18.75" x14ac:dyDescent="0.25">
      <c r="B7" s="15" t="str">
        <f>'Balance Sheet'!B9</f>
        <v>Net Worth</v>
      </c>
      <c r="C7" s="16">
        <f>'Balance Sheet'!C9</f>
        <v>54847.83</v>
      </c>
      <c r="D7" s="16">
        <f>'Balance Sheet'!D9</f>
        <v>59842.98000000001</v>
      </c>
      <c r="E7" s="16">
        <f>'Balance Sheet'!E9</f>
        <v>62568.590000000011</v>
      </c>
      <c r="F7" s="16">
        <f>'Balance Sheet'!F9</f>
        <v>65583.590000000011</v>
      </c>
      <c r="G7" s="16">
        <f>'Balance Sheet'!G9</f>
        <v>72293.590000000011</v>
      </c>
    </row>
    <row r="8" spans="2:7" ht="18.75" x14ac:dyDescent="0.25">
      <c r="B8" s="17" t="s">
        <v>167</v>
      </c>
      <c r="C8" s="17">
        <f>ROUND(C6/ C7, 2)</f>
        <v>1.01</v>
      </c>
      <c r="D8" s="17">
        <f t="shared" ref="D8:G8" si="0">ROUND(D6/ D7, 2)</f>
        <v>0.95</v>
      </c>
      <c r="E8" s="17">
        <f t="shared" si="0"/>
        <v>1.1499999999999999</v>
      </c>
      <c r="F8" s="17">
        <f t="shared" si="0"/>
        <v>1.06</v>
      </c>
      <c r="G8" s="17">
        <f t="shared" si="0"/>
        <v>0.95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4AC90-3501-4399-B10C-A479199E2AB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49894.59</v>
      </c>
      <c r="D6" s="16">
        <f>'Balance Sheet'!D39</f>
        <v>79478.669999999984</v>
      </c>
      <c r="E6" s="16">
        <f>'Balance Sheet'!E39</f>
        <v>97529.569999999992</v>
      </c>
      <c r="F6" s="16">
        <f>'Balance Sheet'!F39</f>
        <v>101147.56999999999</v>
      </c>
      <c r="G6" s="16">
        <f>'Balance Sheet'!G39</f>
        <v>138416.57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37827.229999999996</v>
      </c>
      <c r="D7" s="16">
        <f>'Balance Sheet'!D19</f>
        <v>38409.67</v>
      </c>
      <c r="E7" s="16">
        <f>'Balance Sheet'!E19</f>
        <v>39434</v>
      </c>
      <c r="F7" s="16">
        <f>'Balance Sheet'!F19</f>
        <v>53649</v>
      </c>
      <c r="G7" s="16">
        <f>'Balance Sheet'!G19</f>
        <v>75994</v>
      </c>
    </row>
    <row r="8" spans="2:7" ht="18.75" x14ac:dyDescent="0.25">
      <c r="B8" s="17" t="s">
        <v>169</v>
      </c>
      <c r="C8" s="17">
        <f>ROUND(C6/ C7, 2)</f>
        <v>1.32</v>
      </c>
      <c r="D8" s="17">
        <f t="shared" ref="D8:G8" si="0">ROUND(D6/ D7, 2)</f>
        <v>2.0699999999999998</v>
      </c>
      <c r="E8" s="17">
        <f t="shared" si="0"/>
        <v>2.4700000000000002</v>
      </c>
      <c r="F8" s="17">
        <f t="shared" si="0"/>
        <v>1.89</v>
      </c>
      <c r="G8" s="17">
        <f t="shared" si="0"/>
        <v>1.82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F388A-1856-4E4B-BD54-3DEF24A3682E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49894.59</v>
      </c>
      <c r="D6" s="16">
        <f>'Balance Sheet'!D39</f>
        <v>79478.669999999984</v>
      </c>
      <c r="E6" s="16">
        <f>'Balance Sheet'!E39</f>
        <v>97529.569999999992</v>
      </c>
      <c r="F6" s="16">
        <f>'Balance Sheet'!F39</f>
        <v>101147.56999999999</v>
      </c>
      <c r="G6" s="16">
        <f>'Balance Sheet'!G39</f>
        <v>138416.57</v>
      </c>
    </row>
    <row r="7" spans="2:7" ht="18.75" x14ac:dyDescent="0.25">
      <c r="B7" s="15" t="str">
        <f>'Balance Sheet'!B36</f>
        <v>Inventories</v>
      </c>
      <c r="C7" s="16">
        <f>'Balance Sheet'!C36</f>
        <v>21631.39</v>
      </c>
      <c r="D7" s="16">
        <f>'Balance Sheet'!D36</f>
        <v>22193.79</v>
      </c>
      <c r="E7" s="16">
        <f>'Balance Sheet'!E36</f>
        <v>22384</v>
      </c>
      <c r="F7" s="16">
        <f>'Balance Sheet'!F36</f>
        <v>30668</v>
      </c>
      <c r="G7" s="16">
        <f>'Balance Sheet'!G36</f>
        <v>44483</v>
      </c>
    </row>
    <row r="8" spans="2:7" ht="18.75" x14ac:dyDescent="0.25">
      <c r="B8" s="15" t="str">
        <f>'Balance Sheet'!B19</f>
        <v>Total Current Liabilities</v>
      </c>
      <c r="C8" s="16">
        <f>'Balance Sheet'!C19</f>
        <v>37827.229999999996</v>
      </c>
      <c r="D8" s="16">
        <f>'Balance Sheet'!D19</f>
        <v>38409.67</v>
      </c>
      <c r="E8" s="16">
        <f>'Balance Sheet'!E19</f>
        <v>39434</v>
      </c>
      <c r="F8" s="16">
        <f>'Balance Sheet'!F19</f>
        <v>53649</v>
      </c>
      <c r="G8" s="16">
        <f>'Balance Sheet'!G19</f>
        <v>75994</v>
      </c>
    </row>
    <row r="9" spans="2:7" ht="18.75" x14ac:dyDescent="0.25">
      <c r="B9" s="17" t="s">
        <v>171</v>
      </c>
      <c r="C9" s="17">
        <f>ROUND((C6-C7)/ C8, 2)</f>
        <v>0.75</v>
      </c>
      <c r="D9" s="17">
        <f t="shared" ref="D9:G9" si="0">ROUND((D6-D7)/ D8, 2)</f>
        <v>1.49</v>
      </c>
      <c r="E9" s="17">
        <f t="shared" si="0"/>
        <v>1.91</v>
      </c>
      <c r="F9" s="17">
        <f t="shared" si="0"/>
        <v>1.31</v>
      </c>
      <c r="G9" s="17">
        <f t="shared" si="0"/>
        <v>1.24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CADAF5-CFAA-4253-B776-EDCCAEB473C2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115195.63</v>
      </c>
      <c r="D5" s="2">
        <v>129745.57</v>
      </c>
      <c r="E5" s="2">
        <v>117140</v>
      </c>
      <c r="F5" s="2">
        <v>131009</v>
      </c>
      <c r="G5" s="2">
        <v>195059</v>
      </c>
      <c r="H5" t="s">
        <v>1</v>
      </c>
    </row>
    <row r="6" spans="1:8" x14ac:dyDescent="0.25">
      <c r="A6" t="s">
        <v>98</v>
      </c>
      <c r="B6" t="s">
        <v>98</v>
      </c>
      <c r="C6">
        <v>636.9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114558.73</v>
      </c>
      <c r="D7" s="2">
        <v>129745.57</v>
      </c>
      <c r="E7" s="2">
        <v>117140</v>
      </c>
      <c r="F7" s="2">
        <v>131009</v>
      </c>
      <c r="G7" s="2">
        <v>195059</v>
      </c>
      <c r="H7" t="s">
        <v>1</v>
      </c>
    </row>
    <row r="8" spans="1:8" x14ac:dyDescent="0.25">
      <c r="B8" t="s">
        <v>58</v>
      </c>
      <c r="C8" s="2">
        <v>115182.8</v>
      </c>
      <c r="D8" s="2">
        <v>130542.25</v>
      </c>
      <c r="E8" s="2">
        <v>118144</v>
      </c>
      <c r="F8" s="2">
        <v>131985</v>
      </c>
      <c r="G8" s="2">
        <v>195059</v>
      </c>
      <c r="H8" t="s">
        <v>1</v>
      </c>
    </row>
    <row r="9" spans="1:8" x14ac:dyDescent="0.25">
      <c r="A9" t="s">
        <v>59</v>
      </c>
      <c r="B9" t="s">
        <v>59</v>
      </c>
      <c r="C9" s="2">
        <v>1104.57</v>
      </c>
      <c r="D9" s="2">
        <v>1127.1099999999999</v>
      </c>
      <c r="E9" s="2">
        <v>1186</v>
      </c>
      <c r="F9" s="2">
        <v>1222</v>
      </c>
      <c r="G9" s="2">
        <v>1136</v>
      </c>
      <c r="H9" t="s">
        <v>1</v>
      </c>
    </row>
    <row r="10" spans="1:8" x14ac:dyDescent="0.25">
      <c r="B10" t="s">
        <v>60</v>
      </c>
      <c r="C10" s="2">
        <v>116287.37</v>
      </c>
      <c r="D10" s="2">
        <v>131669.35999999999</v>
      </c>
      <c r="E10" s="2">
        <v>119330</v>
      </c>
      <c r="F10" s="2">
        <v>133207</v>
      </c>
      <c r="G10" s="2">
        <v>196195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 s="2">
        <v>79486.399999999994</v>
      </c>
      <c r="D12" s="2">
        <v>87686.82</v>
      </c>
      <c r="E12" s="2">
        <v>77727</v>
      </c>
      <c r="F12" s="2">
        <v>86276</v>
      </c>
      <c r="G12" s="2">
        <v>125335</v>
      </c>
      <c r="H12" t="s">
        <v>1</v>
      </c>
    </row>
    <row r="13" spans="1:8" x14ac:dyDescent="0.25">
      <c r="B13" t="s">
        <v>63</v>
      </c>
      <c r="C13" s="2">
        <v>4.92</v>
      </c>
      <c r="D13" s="2">
        <v>235.03</v>
      </c>
      <c r="E13">
        <v>256</v>
      </c>
      <c r="F13">
        <v>1098</v>
      </c>
      <c r="G13">
        <v>1958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 s="2">
        <v>-1991.42</v>
      </c>
      <c r="D15" s="2">
        <v>385.65</v>
      </c>
      <c r="E15">
        <v>-17</v>
      </c>
      <c r="F15">
        <v>-2146</v>
      </c>
      <c r="G15" s="2">
        <v>-9753</v>
      </c>
      <c r="H15" t="s">
        <v>1</v>
      </c>
    </row>
    <row r="16" spans="1:8" x14ac:dyDescent="0.25">
      <c r="A16" t="s">
        <v>99</v>
      </c>
      <c r="B16" t="s">
        <v>66</v>
      </c>
      <c r="C16" s="2">
        <v>8644.7800000000007</v>
      </c>
      <c r="D16" s="2">
        <v>9043.09</v>
      </c>
      <c r="E16" s="2">
        <v>8832</v>
      </c>
      <c r="F16" s="2">
        <v>10782</v>
      </c>
      <c r="G16" s="2">
        <v>11936</v>
      </c>
      <c r="H16" t="s">
        <v>1</v>
      </c>
    </row>
    <row r="17" spans="1:8" x14ac:dyDescent="0.25">
      <c r="A17" t="s">
        <v>100</v>
      </c>
      <c r="B17" t="s">
        <v>67</v>
      </c>
      <c r="C17" s="2">
        <v>3910.73</v>
      </c>
      <c r="D17" s="2">
        <v>3778.04</v>
      </c>
      <c r="E17" s="2">
        <v>4197</v>
      </c>
      <c r="F17" s="2">
        <v>3738</v>
      </c>
      <c r="G17" s="2">
        <v>3768</v>
      </c>
      <c r="H17" t="s">
        <v>1</v>
      </c>
    </row>
    <row r="18" spans="1:8" x14ac:dyDescent="0.25">
      <c r="A18" t="s">
        <v>101</v>
      </c>
      <c r="B18" t="s">
        <v>68</v>
      </c>
      <c r="C18" s="2">
        <v>4506.24</v>
      </c>
      <c r="D18" s="2">
        <v>4776.9799999999996</v>
      </c>
      <c r="E18" s="2">
        <v>5091</v>
      </c>
      <c r="F18" s="2">
        <v>6628</v>
      </c>
      <c r="G18" s="2">
        <v>6729</v>
      </c>
      <c r="H18" t="s">
        <v>1</v>
      </c>
    </row>
    <row r="19" spans="1:8" x14ac:dyDescent="0.25">
      <c r="A19" t="s">
        <v>99</v>
      </c>
      <c r="B19" t="s">
        <v>69</v>
      </c>
      <c r="C19" s="2">
        <v>15217.75</v>
      </c>
      <c r="D19" s="2">
        <v>17681.14</v>
      </c>
      <c r="E19" s="2">
        <v>16989</v>
      </c>
      <c r="F19" s="2">
        <v>18355</v>
      </c>
      <c r="G19" s="2">
        <v>36926</v>
      </c>
      <c r="H19" t="s">
        <v>1</v>
      </c>
    </row>
    <row r="20" spans="1:8" x14ac:dyDescent="0.25">
      <c r="B20" t="s">
        <v>70</v>
      </c>
      <c r="C20" s="2">
        <v>109779.4</v>
      </c>
      <c r="D20" s="2">
        <v>123586.75</v>
      </c>
      <c r="E20" s="2">
        <v>113126</v>
      </c>
      <c r="F20" s="2">
        <v>124815</v>
      </c>
      <c r="G20" s="2">
        <v>177209</v>
      </c>
      <c r="H20" t="s">
        <v>1</v>
      </c>
    </row>
    <row r="21" spans="1:8" x14ac:dyDescent="0.25">
      <c r="B21" t="s">
        <v>71</v>
      </c>
      <c r="C21" s="2">
        <v>6507.97</v>
      </c>
      <c r="D21" s="2">
        <v>8082.61</v>
      </c>
      <c r="E21" s="2">
        <v>6204</v>
      </c>
      <c r="F21" s="2">
        <v>8392</v>
      </c>
      <c r="G21" s="2">
        <v>18986</v>
      </c>
      <c r="H21" t="s">
        <v>1</v>
      </c>
    </row>
    <row r="22" spans="1:8" x14ac:dyDescent="0.25">
      <c r="A22" t="s">
        <v>102</v>
      </c>
      <c r="B22" t="s">
        <v>72</v>
      </c>
      <c r="C22">
        <v>1774.16</v>
      </c>
      <c r="D22">
        <v>0</v>
      </c>
      <c r="E22">
        <v>-284</v>
      </c>
      <c r="F22">
        <v>-492</v>
      </c>
      <c r="G22" s="2">
        <v>582</v>
      </c>
      <c r="H22" t="s">
        <v>1</v>
      </c>
    </row>
    <row r="23" spans="1:8" x14ac:dyDescent="0.25">
      <c r="B23" t="s">
        <v>73</v>
      </c>
      <c r="C23" s="2">
        <v>8282.1299999999992</v>
      </c>
      <c r="D23" s="2">
        <v>8082.61</v>
      </c>
      <c r="E23" s="2">
        <v>5920</v>
      </c>
      <c r="F23" s="2">
        <v>7900</v>
      </c>
      <c r="G23" s="2">
        <v>19568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1664.17</v>
      </c>
      <c r="D25" s="2">
        <v>1910.41</v>
      </c>
      <c r="E25" s="2">
        <v>1541</v>
      </c>
      <c r="F25" s="2">
        <v>1881</v>
      </c>
      <c r="G25" s="2">
        <v>5373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410</v>
      </c>
      <c r="D27">
        <v>677.68</v>
      </c>
      <c r="E27">
        <v>616</v>
      </c>
      <c r="F27">
        <v>842</v>
      </c>
      <c r="G27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2074.17</v>
      </c>
      <c r="D29" s="2">
        <v>2588.09</v>
      </c>
      <c r="E29" s="2">
        <v>2157</v>
      </c>
      <c r="F29" s="2">
        <v>2723</v>
      </c>
      <c r="G29" s="2">
        <v>5373</v>
      </c>
      <c r="H29" t="s">
        <v>1</v>
      </c>
    </row>
    <row r="30" spans="1:8" x14ac:dyDescent="0.25">
      <c r="B30" t="s">
        <v>80</v>
      </c>
      <c r="C30" s="2">
        <v>6207.96</v>
      </c>
      <c r="D30" s="2">
        <v>5494.52</v>
      </c>
      <c r="E30" s="2">
        <v>3763</v>
      </c>
      <c r="F30" s="2">
        <v>5177</v>
      </c>
      <c r="G30" s="2">
        <v>14195</v>
      </c>
      <c r="H30" t="s">
        <v>1</v>
      </c>
    </row>
    <row r="31" spans="1:8" x14ac:dyDescent="0.25">
      <c r="B31" t="s">
        <v>81</v>
      </c>
      <c r="C31" s="2">
        <v>6207.96</v>
      </c>
      <c r="D31" s="2">
        <v>5494.52</v>
      </c>
      <c r="E31" s="2">
        <v>3763</v>
      </c>
      <c r="F31" s="2">
        <v>5177</v>
      </c>
      <c r="G31" s="2">
        <v>13724</v>
      </c>
      <c r="H31" t="s">
        <v>1</v>
      </c>
    </row>
    <row r="32" spans="1:8" x14ac:dyDescent="0.25">
      <c r="B32" t="s">
        <v>82</v>
      </c>
      <c r="C32" s="2">
        <v>6207.96</v>
      </c>
      <c r="D32" s="2">
        <v>5494.52</v>
      </c>
      <c r="E32" s="2">
        <v>3763</v>
      </c>
      <c r="F32" s="2">
        <v>3478</v>
      </c>
      <c r="G32" s="2">
        <v>13724</v>
      </c>
      <c r="H32" t="s">
        <v>1</v>
      </c>
    </row>
    <row r="33" spans="1:8" x14ac:dyDescent="0.25">
      <c r="B33" t="s">
        <v>10</v>
      </c>
      <c r="C33">
        <v>0.05</v>
      </c>
      <c r="D33">
        <v>0.66</v>
      </c>
      <c r="E33">
        <v>0</v>
      </c>
      <c r="F33">
        <v>0</v>
      </c>
      <c r="G33">
        <v>0</v>
      </c>
      <c r="H33" t="s">
        <v>1</v>
      </c>
    </row>
    <row r="34" spans="1:8" x14ac:dyDescent="0.25">
      <c r="B34" t="s">
        <v>83</v>
      </c>
      <c r="C34" s="2">
        <v>6082.92</v>
      </c>
      <c r="D34" s="2">
        <v>5495.67</v>
      </c>
      <c r="E34" s="2">
        <v>3767</v>
      </c>
      <c r="F34" s="2">
        <v>3483</v>
      </c>
      <c r="G34" s="2">
        <v>13730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27</v>
      </c>
      <c r="D37">
        <v>25</v>
      </c>
      <c r="E37">
        <v>17</v>
      </c>
      <c r="F37">
        <v>16</v>
      </c>
      <c r="G37">
        <v>62</v>
      </c>
      <c r="H37" t="s">
        <v>1</v>
      </c>
    </row>
    <row r="38" spans="1:8" x14ac:dyDescent="0.25">
      <c r="B38" t="s">
        <v>86</v>
      </c>
      <c r="C38">
        <v>27</v>
      </c>
      <c r="D38">
        <v>25</v>
      </c>
      <c r="E38">
        <v>17</v>
      </c>
      <c r="F38">
        <v>16</v>
      </c>
      <c r="G38">
        <v>62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293.76</v>
      </c>
      <c r="D40">
        <v>269.45999999999998</v>
      </c>
      <c r="E40">
        <v>267</v>
      </c>
      <c r="F40">
        <v>222</v>
      </c>
      <c r="G40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0</v>
      </c>
      <c r="D41">
        <v>53.41</v>
      </c>
      <c r="E41">
        <v>56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6AFE6-9A58-40CE-AA52-C583A88E0DD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3" width="11.5703125" bestFit="1" customWidth="1"/>
    <col min="4" max="4" width="13.140625" bestFit="1" customWidth="1"/>
    <col min="5" max="5" width="11.5703125" bestFit="1" customWidth="1"/>
    <col min="6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7808.1300000000247</v>
      </c>
      <c r="D6" s="16">
        <f>'Income Statement'!D19</f>
        <v>11684.650000000005</v>
      </c>
      <c r="E6" s="16">
        <f>'Income Statement'!E19</f>
        <v>9687</v>
      </c>
      <c r="F6" s="16">
        <f>'Income Statement'!F19</f>
        <v>10190</v>
      </c>
      <c r="G6" s="16">
        <f>'Income Statement'!G19</f>
        <v>15269</v>
      </c>
    </row>
    <row r="7" spans="2:7" ht="18.75" x14ac:dyDescent="0.25">
      <c r="B7" s="15" t="str">
        <f>'Income Statement'!B20</f>
        <v>Finance Costs</v>
      </c>
      <c r="C7" s="16">
        <f>'Income Statement'!C20</f>
        <v>3910.73</v>
      </c>
      <c r="D7" s="16">
        <f>'Income Statement'!D20</f>
        <v>3778.04</v>
      </c>
      <c r="E7" s="16">
        <f>'Income Statement'!E20</f>
        <v>4197</v>
      </c>
      <c r="F7" s="16">
        <f>'Income Statement'!F20</f>
        <v>3738</v>
      </c>
      <c r="G7" s="16">
        <f>'Income Statement'!G20</f>
        <v>3768</v>
      </c>
    </row>
    <row r="8" spans="2:7" ht="18.75" x14ac:dyDescent="0.25">
      <c r="B8" s="17" t="s">
        <v>173</v>
      </c>
      <c r="C8" s="17">
        <f>ROUND(C6/C7, 2)</f>
        <v>2</v>
      </c>
      <c r="D8" s="17">
        <f t="shared" ref="D8:G8" si="0">ROUND(D6/D7, 2)</f>
        <v>3.09</v>
      </c>
      <c r="E8" s="17">
        <f t="shared" si="0"/>
        <v>2.31</v>
      </c>
      <c r="F8" s="17">
        <f t="shared" si="0"/>
        <v>2.73</v>
      </c>
      <c r="G8" s="17">
        <f t="shared" si="0"/>
        <v>4.05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379221-9334-4302-9018-0602073DA80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79486.399999999994</v>
      </c>
      <c r="D6" s="16">
        <f>'Income Statement'!D11</f>
        <v>87686.82</v>
      </c>
      <c r="E6" s="16">
        <f>'Income Statement'!E11</f>
        <v>77727</v>
      </c>
      <c r="F6" s="16">
        <f>'Income Statement'!F11</f>
        <v>86276</v>
      </c>
      <c r="G6" s="16">
        <f>'Income Statement'!G11</f>
        <v>125335</v>
      </c>
    </row>
    <row r="7" spans="2:7" ht="18.75" x14ac:dyDescent="0.25">
      <c r="B7" s="15" t="str">
        <f>'Income Statement'!B7</f>
        <v>Net Sales</v>
      </c>
      <c r="C7" s="16">
        <f>'Income Statement'!C7</f>
        <v>114558.73000000001</v>
      </c>
      <c r="D7" s="16">
        <f>'Income Statement'!D7</f>
        <v>129745.57</v>
      </c>
      <c r="E7" s="16">
        <f>'Income Statement'!E7</f>
        <v>117140</v>
      </c>
      <c r="F7" s="16">
        <f>'Income Statement'!F7</f>
        <v>131009</v>
      </c>
      <c r="G7" s="16">
        <f>'Income Statement'!G7</f>
        <v>195059</v>
      </c>
    </row>
    <row r="8" spans="2:7" ht="18.75" x14ac:dyDescent="0.25">
      <c r="B8" s="17" t="s">
        <v>175</v>
      </c>
      <c r="C8" s="17">
        <f>ROUND(C6/C7, 2)</f>
        <v>0.69</v>
      </c>
      <c r="D8" s="17">
        <f t="shared" ref="D8:G8" si="0">ROUND(D6/D7, 2)</f>
        <v>0.68</v>
      </c>
      <c r="E8" s="17">
        <f t="shared" si="0"/>
        <v>0.66</v>
      </c>
      <c r="F8" s="17">
        <f t="shared" si="0"/>
        <v>0.66</v>
      </c>
      <c r="G8" s="17">
        <f t="shared" si="0"/>
        <v>0.64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30B00-EAEE-47C9-9902-696A4216873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8057.76</v>
      </c>
      <c r="D6" s="16">
        <f>'Balance Sheet'!D38</f>
        <v>35601.87999999999</v>
      </c>
      <c r="E6" s="16">
        <f>'Balance Sheet'!E38</f>
        <v>55897.569999999992</v>
      </c>
      <c r="F6" s="16">
        <f>'Balance Sheet'!F38</f>
        <v>47861.569999999992</v>
      </c>
      <c r="G6" s="16">
        <f>'Balance Sheet'!G38</f>
        <v>58684.569999999992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79486.399999999994</v>
      </c>
      <c r="D7" s="16">
        <f>'Income Statement'!D11</f>
        <v>87686.82</v>
      </c>
      <c r="E7" s="16">
        <f>'Income Statement'!E11</f>
        <v>77727</v>
      </c>
      <c r="F7" s="16">
        <f>'Income Statement'!F11</f>
        <v>86276</v>
      </c>
      <c r="G7" s="16">
        <f>'Income Statement'!G11</f>
        <v>125335</v>
      </c>
    </row>
    <row r="8" spans="2:7" ht="18.75" x14ac:dyDescent="0.25">
      <c r="B8" s="17" t="s">
        <v>177</v>
      </c>
      <c r="C8" s="17">
        <f>ROUND(C6/C7*365, 2)</f>
        <v>37</v>
      </c>
      <c r="D8" s="17">
        <f t="shared" ref="D8:G8" si="0">ROUND(D6/D7*365, 2)</f>
        <v>148.19</v>
      </c>
      <c r="E8" s="17">
        <f t="shared" si="0"/>
        <v>262.49</v>
      </c>
      <c r="F8" s="17">
        <f t="shared" si="0"/>
        <v>202.48</v>
      </c>
      <c r="G8" s="17">
        <f t="shared" si="0"/>
        <v>170.9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F05F4-8EA2-402C-A792-64197FB5A27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2.28515625" bestFit="1" customWidth="1"/>
    <col min="4" max="7" width="14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8057.76</v>
      </c>
      <c r="D6" s="16">
        <f>'Balance Sheet'!D38</f>
        <v>35601.87999999999</v>
      </c>
      <c r="E6" s="16">
        <f>'Balance Sheet'!E38</f>
        <v>55897.569999999992</v>
      </c>
      <c r="F6" s="16">
        <f>'Balance Sheet'!F38</f>
        <v>47861.569999999992</v>
      </c>
      <c r="G6" s="16">
        <f>'Balance Sheet'!G38</f>
        <v>58684.569999999992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8057.76</v>
      </c>
      <c r="D8" s="17">
        <f t="shared" ref="D8:G8" si="0">ROUND(D6/D7*365, 2)</f>
        <v>35601.879999999997</v>
      </c>
      <c r="E8" s="17">
        <f t="shared" si="0"/>
        <v>55897.57</v>
      </c>
      <c r="F8" s="17">
        <f t="shared" si="0"/>
        <v>47861.57</v>
      </c>
      <c r="G8" s="17">
        <f t="shared" si="0"/>
        <v>58684.57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AE9254-4DCF-43A0-94F8-48BFEBBF99B7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Sheet'!B40</f>
        <v>Total Assets</v>
      </c>
      <c r="C7" s="16">
        <f>'Balance Sheet'!C40</f>
        <v>147823.32999999999</v>
      </c>
      <c r="D7" s="16">
        <f>'Balance Sheet'!D40</f>
        <v>154972.94</v>
      </c>
      <c r="E7" s="16">
        <f>'Balance Sheet'!E40</f>
        <v>173779.59</v>
      </c>
      <c r="F7" s="16">
        <f>'Balance Sheet'!F40</f>
        <v>188749.59</v>
      </c>
      <c r="G7" s="16">
        <f>'Balance Sheet'!G40</f>
        <v>217164.59000000003</v>
      </c>
    </row>
    <row r="8" spans="2:7" ht="18.75" x14ac:dyDescent="0.25">
      <c r="B8" s="17" t="s">
        <v>182</v>
      </c>
      <c r="C8" s="17">
        <f>ROUND(C6/C7, 2)</f>
        <v>0.78</v>
      </c>
      <c r="D8" s="17">
        <f t="shared" ref="D8:G8" si="0">ROUND(D6/D7, 2)</f>
        <v>0.84</v>
      </c>
      <c r="E8" s="17">
        <f t="shared" si="0"/>
        <v>0.67</v>
      </c>
      <c r="F8" s="17">
        <f t="shared" si="0"/>
        <v>0.69</v>
      </c>
      <c r="G8" s="17">
        <f t="shared" si="0"/>
        <v>0.9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AD64D-BEA9-4790-9345-A875B2DBD75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Sheet'!B36</f>
        <v>Inventories</v>
      </c>
      <c r="C7" s="16">
        <f>'Balance Sheet'!C36</f>
        <v>21631.39</v>
      </c>
      <c r="D7" s="16">
        <f>'Balance Sheet'!D36</f>
        <v>22193.79</v>
      </c>
      <c r="E7" s="16">
        <f>'Balance Sheet'!E36</f>
        <v>22384</v>
      </c>
      <c r="F7" s="16">
        <f>'Balance Sheet'!F36</f>
        <v>30668</v>
      </c>
      <c r="G7" s="16">
        <f>'Balance Sheet'!G36</f>
        <v>44483</v>
      </c>
    </row>
    <row r="8" spans="2:7" ht="18.75" x14ac:dyDescent="0.25">
      <c r="B8" s="17" t="s">
        <v>184</v>
      </c>
      <c r="C8" s="17">
        <f>ROUND(C6/C7, 2)</f>
        <v>5.33</v>
      </c>
      <c r="D8" s="17">
        <f t="shared" ref="D8:G8" si="0">ROUND(D6/D7, 2)</f>
        <v>5.85</v>
      </c>
      <c r="E8" s="17">
        <f t="shared" si="0"/>
        <v>5.23</v>
      </c>
      <c r="F8" s="17">
        <f t="shared" si="0"/>
        <v>4.2699999999999996</v>
      </c>
      <c r="G8" s="17">
        <f t="shared" si="0"/>
        <v>4.3899999999999997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402E0-1361-4C73-9F3D-26737E71250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Sheet'!B37</f>
        <v>Trade Receivables</v>
      </c>
      <c r="C7" s="16">
        <f>'Balance Sheet'!C37</f>
        <v>9959.81</v>
      </c>
      <c r="D7" s="16">
        <f>'Balance Sheet'!D37</f>
        <v>11459.76</v>
      </c>
      <c r="E7" s="16">
        <f>'Balance Sheet'!E37</f>
        <v>9345</v>
      </c>
      <c r="F7" s="16">
        <f>'Balance Sheet'!F37</f>
        <v>12959</v>
      </c>
      <c r="G7" s="16">
        <f>'Balance Sheet'!G37</f>
        <v>21076</v>
      </c>
    </row>
    <row r="8" spans="2:7" ht="18.75" x14ac:dyDescent="0.25">
      <c r="B8" s="17" t="s">
        <v>186</v>
      </c>
      <c r="C8" s="17">
        <f>ROUND(C6/C7, 2)</f>
        <v>11.57</v>
      </c>
      <c r="D8" s="17">
        <f t="shared" ref="D8:G8" si="0">ROUND(D6/D7, 2)</f>
        <v>11.32</v>
      </c>
      <c r="E8" s="17">
        <f t="shared" si="0"/>
        <v>12.54</v>
      </c>
      <c r="F8" s="17">
        <f t="shared" si="0"/>
        <v>10.11</v>
      </c>
      <c r="G8" s="17">
        <f t="shared" si="0"/>
        <v>9.26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2660B-28C7-4102-BFFC-A92A92F6F4F3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Sheet'!B23</f>
        <v>Tangible Assets</v>
      </c>
      <c r="C7" s="16">
        <f>'Balance Sheet'!C23</f>
        <v>63910.31</v>
      </c>
      <c r="D7" s="16">
        <f>'Balance Sheet'!D23</f>
        <v>64208.08</v>
      </c>
      <c r="E7" s="16">
        <f>'Balance Sheet'!E23</f>
        <v>66089</v>
      </c>
      <c r="F7" s="16">
        <f>'Balance Sheet'!F23</f>
        <v>70870</v>
      </c>
      <c r="G7" s="16">
        <f>'Balance Sheet'!G23</f>
        <v>87854</v>
      </c>
    </row>
    <row r="8" spans="2:7" ht="18.75" x14ac:dyDescent="0.25">
      <c r="B8" s="17" t="s">
        <v>188</v>
      </c>
      <c r="C8" s="17">
        <f>ROUND(C6/C7, 2)</f>
        <v>1.8</v>
      </c>
      <c r="D8" s="17">
        <f t="shared" ref="D8:G8" si="0">ROUND(D6/D7, 2)</f>
        <v>2.02</v>
      </c>
      <c r="E8" s="17">
        <f t="shared" si="0"/>
        <v>1.77</v>
      </c>
      <c r="F8" s="17">
        <f t="shared" si="0"/>
        <v>1.85</v>
      </c>
      <c r="G8" s="17">
        <f t="shared" si="0"/>
        <v>2.2200000000000002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A98B9-00A3-4765-B185-22E6A9F4C04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79486.399999999994</v>
      </c>
      <c r="D6" s="16">
        <f>'Income Statement'!D11</f>
        <v>87686.82</v>
      </c>
      <c r="E6" s="16">
        <f>'Income Statement'!E11</f>
        <v>77727</v>
      </c>
      <c r="F6" s="16">
        <f>'Income Statement'!F11</f>
        <v>86276</v>
      </c>
      <c r="G6" s="16">
        <f>'Income Statement'!G11</f>
        <v>125335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37827.229999999996</v>
      </c>
      <c r="D7" s="16">
        <f>'Balance Sheet'!D19</f>
        <v>38409.67</v>
      </c>
      <c r="E7" s="16">
        <f>'Balance Sheet'!E19</f>
        <v>39434</v>
      </c>
      <c r="F7" s="16">
        <f>'Balance Sheet'!F19</f>
        <v>53649</v>
      </c>
      <c r="G7" s="16">
        <f>'Balance Sheet'!G19</f>
        <v>75994</v>
      </c>
    </row>
    <row r="8" spans="2:7" ht="18.75" x14ac:dyDescent="0.25">
      <c r="B8" s="17" t="s">
        <v>190</v>
      </c>
      <c r="C8" s="17">
        <f>ROUND(C6/C7, 2)</f>
        <v>2.1</v>
      </c>
      <c r="D8" s="17">
        <f t="shared" ref="D8:G8" si="0">ROUND(D6/D7, 2)</f>
        <v>2.2799999999999998</v>
      </c>
      <c r="E8" s="17">
        <f t="shared" si="0"/>
        <v>1.97</v>
      </c>
      <c r="F8" s="17">
        <f t="shared" si="0"/>
        <v>1.61</v>
      </c>
      <c r="G8" s="17">
        <f t="shared" si="0"/>
        <v>1.65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2FD08-2D31-4659-9A86-3E63B4391ED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Sheet'!B36</f>
        <v>Inventories</v>
      </c>
      <c r="C7" s="16">
        <f>'Balance Sheet'!C36</f>
        <v>21631.39</v>
      </c>
      <c r="D7" s="16">
        <f>'Balance Sheet'!D36</f>
        <v>22193.79</v>
      </c>
      <c r="E7" s="16">
        <f>'Balance Sheet'!E36</f>
        <v>22384</v>
      </c>
      <c r="F7" s="16">
        <f>'Balance Sheet'!F36</f>
        <v>30668</v>
      </c>
      <c r="G7" s="16">
        <f>'Balance Sheet'!G36</f>
        <v>44483</v>
      </c>
    </row>
    <row r="8" spans="2:7" ht="18.75" x14ac:dyDescent="0.25">
      <c r="B8" s="17" t="s">
        <v>192</v>
      </c>
      <c r="C8" s="17">
        <f>ROUND(365/C6*C7, 2)</f>
        <v>68.540000000000006</v>
      </c>
      <c r="D8" s="17">
        <f t="shared" ref="D8:G8" si="0">ROUND(365/D6*D7, 2)</f>
        <v>62.44</v>
      </c>
      <c r="E8" s="17">
        <f t="shared" si="0"/>
        <v>69.75</v>
      </c>
      <c r="F8" s="17">
        <f t="shared" si="0"/>
        <v>85.44</v>
      </c>
      <c r="G8" s="17">
        <f t="shared" si="0"/>
        <v>83.24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84817-C7DF-412C-8532-F0E7BE3B3EAF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3" width="18.85546875" bestFit="1" customWidth="1"/>
    <col min="4" max="4" width="17.140625" bestFit="1" customWidth="1"/>
    <col min="5" max="5" width="18.85546875" bestFit="1" customWidth="1"/>
    <col min="6" max="6" width="17.140625" bestFit="1" customWidth="1"/>
    <col min="7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115195.63</v>
      </c>
      <c r="D5" s="5">
        <v>129745.57</v>
      </c>
      <c r="E5" s="5">
        <v>117140</v>
      </c>
      <c r="F5" s="5">
        <v>131009</v>
      </c>
      <c r="G5" s="5">
        <v>195059</v>
      </c>
    </row>
    <row r="6" spans="2:7" ht="18.75" x14ac:dyDescent="0.25">
      <c r="B6" s="8" t="s">
        <v>98</v>
      </c>
      <c r="C6" s="4">
        <v>636.9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114558.73000000001</v>
      </c>
      <c r="D7" s="7">
        <f t="shared" ref="D7:G7" si="0">D5 - D6</f>
        <v>129745.57</v>
      </c>
      <c r="E7" s="7">
        <f t="shared" si="0"/>
        <v>117140</v>
      </c>
      <c r="F7" s="7">
        <f t="shared" si="0"/>
        <v>131009</v>
      </c>
      <c r="G7" s="7">
        <f t="shared" si="0"/>
        <v>195059</v>
      </c>
    </row>
    <row r="8" spans="2:7" ht="18.75" x14ac:dyDescent="0.25">
      <c r="B8" s="8" t="s">
        <v>59</v>
      </c>
      <c r="C8" s="5">
        <v>1104.57</v>
      </c>
      <c r="D8" s="5">
        <v>1127.1099999999999</v>
      </c>
      <c r="E8" s="5">
        <v>1186</v>
      </c>
      <c r="F8" s="5">
        <v>1222</v>
      </c>
      <c r="G8" s="5">
        <v>1136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115663.30000000002</v>
      </c>
      <c r="D10" s="7">
        <f t="shared" ref="D10:G10" si="1">SUM(D7:D9)</f>
        <v>130872.68000000001</v>
      </c>
      <c r="E10" s="7">
        <f t="shared" si="1"/>
        <v>118326</v>
      </c>
      <c r="F10" s="7">
        <f t="shared" si="1"/>
        <v>132231</v>
      </c>
      <c r="G10" s="7">
        <f t="shared" si="1"/>
        <v>196195</v>
      </c>
    </row>
    <row r="11" spans="2:7" ht="18.75" x14ac:dyDescent="0.25">
      <c r="B11" s="8" t="s">
        <v>62</v>
      </c>
      <c r="C11" s="5">
        <v>79486.399999999994</v>
      </c>
      <c r="D11" s="5">
        <v>87686.82</v>
      </c>
      <c r="E11" s="5">
        <v>77727</v>
      </c>
      <c r="F11" s="5">
        <v>86276</v>
      </c>
      <c r="G11" s="5">
        <v>125335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8644.7800000000007</v>
      </c>
      <c r="D13" s="5">
        <v>9043.09</v>
      </c>
      <c r="E13" s="5">
        <v>8832</v>
      </c>
      <c r="F13" s="5">
        <v>10782</v>
      </c>
      <c r="G13" s="5">
        <v>11936</v>
      </c>
    </row>
    <row r="14" spans="2:7" ht="18.75" x14ac:dyDescent="0.25">
      <c r="B14" s="8" t="s">
        <v>69</v>
      </c>
      <c r="C14" s="5">
        <v>15217.75</v>
      </c>
      <c r="D14" s="5">
        <v>17681.14</v>
      </c>
      <c r="E14" s="5">
        <v>16989</v>
      </c>
      <c r="F14" s="5">
        <v>18355</v>
      </c>
      <c r="G14" s="5">
        <v>36926</v>
      </c>
    </row>
    <row r="15" spans="2:7" ht="18.75" x14ac:dyDescent="0.25">
      <c r="B15" s="9" t="s">
        <v>108</v>
      </c>
      <c r="C15" s="7">
        <f>C11+C12+C13+C14</f>
        <v>103348.93</v>
      </c>
      <c r="D15" s="7">
        <f t="shared" ref="D15:G15" si="2">D11+D12+D13+D14</f>
        <v>114411.05</v>
      </c>
      <c r="E15" s="7">
        <f t="shared" si="2"/>
        <v>103548</v>
      </c>
      <c r="F15" s="7">
        <f t="shared" si="2"/>
        <v>115413</v>
      </c>
      <c r="G15" s="7">
        <f t="shared" si="2"/>
        <v>174197</v>
      </c>
    </row>
    <row r="16" spans="2:7" ht="18.75" x14ac:dyDescent="0.25">
      <c r="B16" s="9" t="s">
        <v>109</v>
      </c>
      <c r="C16" s="7">
        <f xml:space="preserve"> C10-C15-C8</f>
        <v>11209.800000000025</v>
      </c>
      <c r="D16" s="7">
        <f t="shared" ref="D16:G16" si="3" xml:space="preserve"> D10-D15-D8</f>
        <v>15334.520000000004</v>
      </c>
      <c r="E16" s="7">
        <f t="shared" si="3"/>
        <v>13592</v>
      </c>
      <c r="F16" s="7">
        <f t="shared" si="3"/>
        <v>15596</v>
      </c>
      <c r="G16" s="7">
        <f t="shared" si="3"/>
        <v>20862</v>
      </c>
    </row>
    <row r="17" spans="2:7" ht="18.75" x14ac:dyDescent="0.25">
      <c r="B17" s="9" t="s">
        <v>110</v>
      </c>
      <c r="C17" s="7">
        <f xml:space="preserve"> C16+C8</f>
        <v>12314.370000000024</v>
      </c>
      <c r="D17" s="7">
        <f t="shared" ref="D17:G17" si="4" xml:space="preserve"> D16+D8</f>
        <v>16461.630000000005</v>
      </c>
      <c r="E17" s="7">
        <f t="shared" si="4"/>
        <v>14778</v>
      </c>
      <c r="F17" s="7">
        <f t="shared" si="4"/>
        <v>16818</v>
      </c>
      <c r="G17" s="7">
        <f t="shared" si="4"/>
        <v>21998</v>
      </c>
    </row>
    <row r="18" spans="2:7" ht="18.75" x14ac:dyDescent="0.25">
      <c r="B18" s="8" t="s">
        <v>68</v>
      </c>
      <c r="C18" s="5">
        <v>4506.24</v>
      </c>
      <c r="D18" s="5">
        <v>4776.9799999999996</v>
      </c>
      <c r="E18" s="5">
        <v>5091</v>
      </c>
      <c r="F18" s="5">
        <v>6628</v>
      </c>
      <c r="G18" s="5">
        <v>6729</v>
      </c>
    </row>
    <row r="19" spans="2:7" ht="18.75" x14ac:dyDescent="0.25">
      <c r="B19" s="9" t="s">
        <v>111</v>
      </c>
      <c r="C19" s="7">
        <f xml:space="preserve"> C17-C18</f>
        <v>7808.1300000000247</v>
      </c>
      <c r="D19" s="7">
        <f t="shared" ref="D19:G19" si="5" xml:space="preserve"> D17-D18</f>
        <v>11684.650000000005</v>
      </c>
      <c r="E19" s="7">
        <f t="shared" si="5"/>
        <v>9687</v>
      </c>
      <c r="F19" s="7">
        <f t="shared" si="5"/>
        <v>10190</v>
      </c>
      <c r="G19" s="7">
        <f t="shared" si="5"/>
        <v>15269</v>
      </c>
    </row>
    <row r="20" spans="2:7" ht="18.75" x14ac:dyDescent="0.25">
      <c r="B20" s="8" t="s">
        <v>67</v>
      </c>
      <c r="C20" s="5">
        <v>3910.73</v>
      </c>
      <c r="D20" s="5">
        <v>3778.04</v>
      </c>
      <c r="E20" s="5">
        <v>4197</v>
      </c>
      <c r="F20" s="5">
        <v>3738</v>
      </c>
      <c r="G20" s="5">
        <v>3768</v>
      </c>
    </row>
    <row r="21" spans="2:7" ht="18.75" x14ac:dyDescent="0.25">
      <c r="B21" s="9" t="s">
        <v>112</v>
      </c>
      <c r="C21" s="7">
        <f xml:space="preserve"> C19-C20</f>
        <v>3897.4000000000246</v>
      </c>
      <c r="D21" s="7">
        <f t="shared" ref="D21:G21" si="6" xml:space="preserve"> D19-D20</f>
        <v>7906.6100000000051</v>
      </c>
      <c r="E21" s="7">
        <f t="shared" si="6"/>
        <v>5490</v>
      </c>
      <c r="F21" s="7">
        <f t="shared" si="6"/>
        <v>6452</v>
      </c>
      <c r="G21" s="7">
        <f t="shared" si="6"/>
        <v>11501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3897.4000000000246</v>
      </c>
      <c r="D23" s="7">
        <f t="shared" ref="D23:G23" si="7" xml:space="preserve"> D21+D22</f>
        <v>7906.6100000000051</v>
      </c>
      <c r="E23" s="7">
        <f t="shared" si="7"/>
        <v>5490</v>
      </c>
      <c r="F23" s="7">
        <f t="shared" si="7"/>
        <v>6452</v>
      </c>
      <c r="G23" s="7">
        <f t="shared" si="7"/>
        <v>11501</v>
      </c>
    </row>
    <row r="24" spans="2:7" ht="18.75" x14ac:dyDescent="0.25">
      <c r="B24" s="8" t="s">
        <v>72</v>
      </c>
      <c r="C24" s="4">
        <v>1774.16</v>
      </c>
      <c r="D24" s="4">
        <v>0</v>
      </c>
      <c r="E24" s="4">
        <v>-284</v>
      </c>
      <c r="F24" s="4">
        <v>-492</v>
      </c>
      <c r="G24" s="5">
        <v>582</v>
      </c>
    </row>
    <row r="25" spans="2:7" ht="18.75" x14ac:dyDescent="0.25">
      <c r="B25" s="9" t="s">
        <v>115</v>
      </c>
      <c r="C25" s="7">
        <f xml:space="preserve"> C23+C24</f>
        <v>5671.560000000025</v>
      </c>
      <c r="D25" s="7">
        <f t="shared" ref="D25:G25" si="8" xml:space="preserve"> D23+D24</f>
        <v>7906.6100000000051</v>
      </c>
      <c r="E25" s="7">
        <f t="shared" si="8"/>
        <v>5206</v>
      </c>
      <c r="F25" s="7">
        <f t="shared" si="8"/>
        <v>5960</v>
      </c>
      <c r="G25" s="7">
        <f t="shared" si="8"/>
        <v>12083</v>
      </c>
    </row>
    <row r="26" spans="2:7" ht="18.75" x14ac:dyDescent="0.25">
      <c r="B26" s="8" t="s">
        <v>79</v>
      </c>
      <c r="C26" s="5">
        <v>2074.17</v>
      </c>
      <c r="D26" s="5">
        <v>2588.09</v>
      </c>
      <c r="E26" s="5">
        <v>2157</v>
      </c>
      <c r="F26" s="5">
        <v>2723</v>
      </c>
      <c r="G26" s="5">
        <v>5373</v>
      </c>
    </row>
    <row r="27" spans="2:7" ht="18.75" x14ac:dyDescent="0.25">
      <c r="B27" s="9" t="s">
        <v>116</v>
      </c>
      <c r="C27" s="7">
        <f xml:space="preserve"> C25-C26</f>
        <v>3597.3900000000249</v>
      </c>
      <c r="D27" s="7">
        <f t="shared" ref="D27:G27" si="9" xml:space="preserve"> D25-D26</f>
        <v>5318.520000000005</v>
      </c>
      <c r="E27" s="7">
        <f t="shared" si="9"/>
        <v>3049</v>
      </c>
      <c r="F27" s="7">
        <f t="shared" si="9"/>
        <v>3237</v>
      </c>
      <c r="G27" s="7">
        <f t="shared" si="9"/>
        <v>6710</v>
      </c>
    </row>
    <row r="28" spans="2:7" ht="18.75" x14ac:dyDescent="0.25">
      <c r="B28" s="8" t="s">
        <v>88</v>
      </c>
      <c r="C28" s="4">
        <v>293.76</v>
      </c>
      <c r="D28" s="4">
        <v>269.45999999999998</v>
      </c>
      <c r="E28" s="4">
        <v>267</v>
      </c>
      <c r="F28" s="4">
        <v>222</v>
      </c>
      <c r="G28" s="4">
        <v>0</v>
      </c>
    </row>
    <row r="29" spans="2:7" ht="18.75" x14ac:dyDescent="0.25">
      <c r="B29" s="8" t="s">
        <v>89</v>
      </c>
      <c r="C29" s="4">
        <v>0</v>
      </c>
      <c r="D29" s="4">
        <v>53.41</v>
      </c>
      <c r="E29" s="4">
        <v>56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3303.6300000000247</v>
      </c>
      <c r="D30" s="7">
        <f t="shared" ref="D30:G30" si="10" xml:space="preserve"> D27-D28-D29</f>
        <v>4995.6500000000051</v>
      </c>
      <c r="E30" s="7">
        <f t="shared" si="10"/>
        <v>2726</v>
      </c>
      <c r="F30" s="7">
        <f t="shared" si="10"/>
        <v>3015</v>
      </c>
      <c r="G30" s="7">
        <f t="shared" si="10"/>
        <v>6710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27</v>
      </c>
      <c r="D34" s="4">
        <v>25</v>
      </c>
      <c r="E34" s="4">
        <v>17</v>
      </c>
      <c r="F34" s="4">
        <v>16</v>
      </c>
      <c r="G34" s="4">
        <v>62</v>
      </c>
    </row>
    <row r="35" spans="2:7" ht="18.75" x14ac:dyDescent="0.25">
      <c r="B35" s="8" t="s">
        <v>118</v>
      </c>
      <c r="C35" s="4">
        <f>C27/C34</f>
        <v>133.23666666666759</v>
      </c>
      <c r="D35" s="4">
        <f t="shared" ref="D35:G35" si="11">D27/D34</f>
        <v>212.74080000000021</v>
      </c>
      <c r="E35" s="4">
        <f t="shared" si="11"/>
        <v>179.35294117647058</v>
      </c>
      <c r="F35" s="4">
        <f t="shared" si="11"/>
        <v>202.3125</v>
      </c>
      <c r="G35" s="4">
        <f t="shared" si="11"/>
        <v>108.2258064516129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E2C82-EE69-401F-AD54-D0B99AF2A1B7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6" width="13.140625" bestFit="1" customWidth="1"/>
    <col min="7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79486.399999999994</v>
      </c>
      <c r="D6" s="16">
        <f>'Income Statement'!D11</f>
        <v>87686.82</v>
      </c>
      <c r="E6" s="16">
        <f>'Income Statement'!E11</f>
        <v>77727</v>
      </c>
      <c r="F6" s="16">
        <f>'Income Statement'!F11</f>
        <v>86276</v>
      </c>
      <c r="G6" s="16">
        <f>'Income Statement'!G11</f>
        <v>125335</v>
      </c>
    </row>
    <row r="7" spans="2:7" ht="18.75" x14ac:dyDescent="0.25">
      <c r="B7" s="15" t="str">
        <f>'Balance Sheet'!B19</f>
        <v>Total Current Liabilities</v>
      </c>
      <c r="C7" s="16">
        <f>'Balance Sheet'!C19</f>
        <v>37827.229999999996</v>
      </c>
      <c r="D7" s="16">
        <f>'Balance Sheet'!D19</f>
        <v>38409.67</v>
      </c>
      <c r="E7" s="16">
        <f>'Balance Sheet'!E19</f>
        <v>39434</v>
      </c>
      <c r="F7" s="16">
        <f>'Balance Sheet'!F19</f>
        <v>53649</v>
      </c>
      <c r="G7" s="16">
        <f>'Balance Sheet'!G19</f>
        <v>75994</v>
      </c>
    </row>
    <row r="8" spans="2:7" ht="18.75" x14ac:dyDescent="0.25">
      <c r="B8" s="17" t="s">
        <v>194</v>
      </c>
      <c r="C8" s="17">
        <f>ROUND(365/C6*C7, 2)</f>
        <v>173.7</v>
      </c>
      <c r="D8" s="17">
        <f t="shared" ref="D8:G8" si="0">ROUND(365/D6*D7, 2)</f>
        <v>159.88</v>
      </c>
      <c r="E8" s="17">
        <f t="shared" si="0"/>
        <v>185.18</v>
      </c>
      <c r="F8" s="17">
        <f t="shared" si="0"/>
        <v>226.97</v>
      </c>
      <c r="G8" s="17">
        <f t="shared" si="0"/>
        <v>221.31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A115B-1377-4061-816D-D3B10BCF253C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Sheet'!B37</f>
        <v>Trade Receivables</v>
      </c>
      <c r="C7" s="16">
        <f>'Balance Sheet'!C37</f>
        <v>9959.81</v>
      </c>
      <c r="D7" s="16">
        <f>'Balance Sheet'!D37</f>
        <v>11459.76</v>
      </c>
      <c r="E7" s="16">
        <f>'Balance Sheet'!E37</f>
        <v>9345</v>
      </c>
      <c r="F7" s="16">
        <f>'Balance Sheet'!F37</f>
        <v>12959</v>
      </c>
      <c r="G7" s="16">
        <f>'Balance Sheet'!G37</f>
        <v>21076</v>
      </c>
    </row>
    <row r="8" spans="2:7" ht="18.75" x14ac:dyDescent="0.25">
      <c r="B8" s="17" t="s">
        <v>196</v>
      </c>
      <c r="C8" s="17">
        <f>ROUND(365/C6*C7, 2)</f>
        <v>31.56</v>
      </c>
      <c r="D8" s="17">
        <f t="shared" ref="D8:G8" si="0">ROUND(365/D6*D7, 2)</f>
        <v>32.24</v>
      </c>
      <c r="E8" s="17">
        <f t="shared" si="0"/>
        <v>29.12</v>
      </c>
      <c r="F8" s="17">
        <f t="shared" si="0"/>
        <v>36.1</v>
      </c>
      <c r="G8" s="17">
        <f t="shared" si="0"/>
        <v>39.44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A12A1-02A3-45DE-93E8-20A3595F67E3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Sheet'!B36</f>
        <v>Inventories</v>
      </c>
      <c r="C7" s="16">
        <f>'Balance Sheet'!C36</f>
        <v>21631.39</v>
      </c>
      <c r="D7" s="16">
        <f>'Balance Sheet'!D36</f>
        <v>22193.79</v>
      </c>
      <c r="E7" s="16">
        <f>'Balance Sheet'!E36</f>
        <v>22384</v>
      </c>
      <c r="F7" s="16">
        <f>'Balance Sheet'!F36</f>
        <v>30668</v>
      </c>
      <c r="G7" s="16">
        <f>'Balance Sheet'!G36</f>
        <v>44483</v>
      </c>
    </row>
    <row r="8" spans="2:7" ht="18.75" x14ac:dyDescent="0.25">
      <c r="B8" s="15" t="s">
        <v>192</v>
      </c>
      <c r="C8" s="16">
        <f>ROUND(365/C6*C7, 2)</f>
        <v>68.540000000000006</v>
      </c>
      <c r="D8" s="16">
        <f t="shared" ref="D8:G8" si="0">ROUND(365/D6*D7, 2)</f>
        <v>62.44</v>
      </c>
      <c r="E8" s="16">
        <f t="shared" si="0"/>
        <v>69.75</v>
      </c>
      <c r="F8" s="16">
        <f t="shared" si="0"/>
        <v>85.44</v>
      </c>
      <c r="G8" s="16">
        <f t="shared" si="0"/>
        <v>83.24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79486.399999999994</v>
      </c>
      <c r="D9" s="16">
        <f>'Income Statement'!D11</f>
        <v>87686.82</v>
      </c>
      <c r="E9" s="16">
        <f>'Income Statement'!E11</f>
        <v>77727</v>
      </c>
      <c r="F9" s="16">
        <f>'Income Statement'!F11</f>
        <v>86276</v>
      </c>
      <c r="G9" s="16">
        <f>'Income Statement'!G11</f>
        <v>125335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37827.229999999996</v>
      </c>
      <c r="D10" s="16">
        <f>'Balance Sheet'!D19</f>
        <v>38409.67</v>
      </c>
      <c r="E10" s="16">
        <f>'Balance Sheet'!E19</f>
        <v>39434</v>
      </c>
      <c r="F10" s="16">
        <f>'Balance Sheet'!F19</f>
        <v>53649</v>
      </c>
      <c r="G10" s="16">
        <f>'Balance Sheet'!G19</f>
        <v>75994</v>
      </c>
    </row>
    <row r="11" spans="2:7" ht="18.75" x14ac:dyDescent="0.25">
      <c r="B11" s="15" t="s">
        <v>194</v>
      </c>
      <c r="C11" s="16">
        <f>ROUND(365/C9*C10, 2)</f>
        <v>173.7</v>
      </c>
      <c r="D11" s="16">
        <f t="shared" ref="D11:G11" si="1">ROUND(365/D9*D10, 2)</f>
        <v>159.88</v>
      </c>
      <c r="E11" s="16">
        <f t="shared" si="1"/>
        <v>185.18</v>
      </c>
      <c r="F11" s="16">
        <f t="shared" si="1"/>
        <v>226.97</v>
      </c>
      <c r="G11" s="16">
        <f t="shared" si="1"/>
        <v>221.31</v>
      </c>
    </row>
    <row r="12" spans="2:7" ht="18.75" x14ac:dyDescent="0.25">
      <c r="B12" s="17" t="s">
        <v>198</v>
      </c>
      <c r="C12" s="28">
        <f>ROUND(C11+C8, 2)</f>
        <v>242.24</v>
      </c>
      <c r="D12" s="28">
        <f t="shared" ref="D12:G12" si="2">ROUND(D11+D8, 2)</f>
        <v>222.32</v>
      </c>
      <c r="E12" s="28">
        <f t="shared" si="2"/>
        <v>254.93</v>
      </c>
      <c r="F12" s="28">
        <f t="shared" si="2"/>
        <v>312.41000000000003</v>
      </c>
      <c r="G12" s="28">
        <f t="shared" si="2"/>
        <v>304.55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6CA4D-E494-48B9-812A-2408D066BC64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115195.63</v>
      </c>
      <c r="D6" s="16">
        <f>'Income Statement'!D5</f>
        <v>129745.57</v>
      </c>
      <c r="E6" s="16">
        <f>'Income Statement'!E5</f>
        <v>117140</v>
      </c>
      <c r="F6" s="16">
        <f>'Income Statement'!F5</f>
        <v>131009</v>
      </c>
      <c r="G6" s="16">
        <f>'Income Statement'!G5</f>
        <v>195059</v>
      </c>
    </row>
    <row r="7" spans="2:7" ht="18.75" x14ac:dyDescent="0.25">
      <c r="B7" s="15" t="str">
        <f>'Balance Sheet'!B36</f>
        <v>Inventories</v>
      </c>
      <c r="C7" s="16">
        <f>'Balance Sheet'!C36</f>
        <v>21631.39</v>
      </c>
      <c r="D7" s="16">
        <f>'Balance Sheet'!D36</f>
        <v>22193.79</v>
      </c>
      <c r="E7" s="16">
        <f>'Balance Sheet'!E36</f>
        <v>22384</v>
      </c>
      <c r="F7" s="16">
        <f>'Balance Sheet'!F36</f>
        <v>30668</v>
      </c>
      <c r="G7" s="16">
        <f>'Balance Sheet'!G36</f>
        <v>44483</v>
      </c>
    </row>
    <row r="8" spans="2:7" ht="18.75" x14ac:dyDescent="0.25">
      <c r="B8" s="15" t="s">
        <v>192</v>
      </c>
      <c r="C8" s="16">
        <f>ROUND(365/C6*C7, 2)</f>
        <v>68.540000000000006</v>
      </c>
      <c r="D8" s="16">
        <f t="shared" ref="D8:G8" si="0">ROUND(365/D6*D7, 2)</f>
        <v>62.44</v>
      </c>
      <c r="E8" s="16">
        <f t="shared" si="0"/>
        <v>69.75</v>
      </c>
      <c r="F8" s="16">
        <f t="shared" si="0"/>
        <v>85.44</v>
      </c>
      <c r="G8" s="16">
        <f t="shared" si="0"/>
        <v>83.24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79486.399999999994</v>
      </c>
      <c r="D9" s="16">
        <f>'Income Statement'!D11</f>
        <v>87686.82</v>
      </c>
      <c r="E9" s="16">
        <f>'Income Statement'!E11</f>
        <v>77727</v>
      </c>
      <c r="F9" s="16">
        <f>'Income Statement'!F11</f>
        <v>86276</v>
      </c>
      <c r="G9" s="16">
        <f>'Income Statement'!G11</f>
        <v>125335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37827.229999999996</v>
      </c>
      <c r="D10" s="16">
        <f>'Balance Sheet'!D19</f>
        <v>38409.67</v>
      </c>
      <c r="E10" s="16">
        <f>'Balance Sheet'!E19</f>
        <v>39434</v>
      </c>
      <c r="F10" s="16">
        <f>'Balance Sheet'!F19</f>
        <v>53649</v>
      </c>
      <c r="G10" s="16">
        <f>'Balance Sheet'!G19</f>
        <v>75994</v>
      </c>
    </row>
    <row r="11" spans="2:7" ht="18.75" x14ac:dyDescent="0.25">
      <c r="B11" s="15" t="s">
        <v>194</v>
      </c>
      <c r="C11" s="16">
        <f>ROUND(365/C9*C10, 2)</f>
        <v>173.7</v>
      </c>
      <c r="D11" s="16">
        <f t="shared" ref="D11:G11" si="1">ROUND(365/D9*D10, 2)</f>
        <v>159.88</v>
      </c>
      <c r="E11" s="16">
        <f t="shared" si="1"/>
        <v>185.18</v>
      </c>
      <c r="F11" s="16">
        <f t="shared" si="1"/>
        <v>226.97</v>
      </c>
      <c r="G11" s="16">
        <f t="shared" si="1"/>
        <v>221.31</v>
      </c>
    </row>
    <row r="12" spans="2:7" ht="18.75" x14ac:dyDescent="0.25">
      <c r="B12" s="15" t="s">
        <v>200</v>
      </c>
      <c r="C12" s="16">
        <f>ROUND(C11+C8, 2)</f>
        <v>242.24</v>
      </c>
      <c r="D12" s="16">
        <f t="shared" ref="D12:G12" si="2">ROUND(D11+D8, 2)</f>
        <v>222.32</v>
      </c>
      <c r="E12" s="16">
        <f t="shared" si="2"/>
        <v>254.93</v>
      </c>
      <c r="F12" s="16">
        <f t="shared" si="2"/>
        <v>312.41000000000003</v>
      </c>
      <c r="G12" s="16">
        <f t="shared" si="2"/>
        <v>304.55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79486.399999999994</v>
      </c>
      <c r="D13" s="16">
        <f>'Income Statement'!D11</f>
        <v>87686.82</v>
      </c>
      <c r="E13" s="16">
        <f>'Income Statement'!E11</f>
        <v>77727</v>
      </c>
      <c r="F13" s="16">
        <f>'Income Statement'!F11</f>
        <v>86276</v>
      </c>
      <c r="G13" s="16">
        <f>'Income Statement'!G11</f>
        <v>125335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37827.229999999996</v>
      </c>
      <c r="D14" s="16">
        <f>'Balance Sheet'!D19</f>
        <v>38409.67</v>
      </c>
      <c r="E14" s="16">
        <f>'Balance Sheet'!E19</f>
        <v>39434</v>
      </c>
      <c r="F14" s="16">
        <f>'Balance Sheet'!F19</f>
        <v>53649</v>
      </c>
      <c r="G14" s="16">
        <f>'Balance Sheet'!G19</f>
        <v>75994</v>
      </c>
    </row>
    <row r="15" spans="2:7" ht="18.75" x14ac:dyDescent="0.25">
      <c r="B15" s="15" t="s">
        <v>194</v>
      </c>
      <c r="C15" s="16">
        <f>ROUND(365/C13*C14, 2)</f>
        <v>173.7</v>
      </c>
      <c r="D15" s="16">
        <f t="shared" ref="D15:G15" si="3">ROUND(365/D13*D14, 2)</f>
        <v>159.88</v>
      </c>
      <c r="E15" s="16">
        <f t="shared" si="3"/>
        <v>185.18</v>
      </c>
      <c r="F15" s="16">
        <f t="shared" si="3"/>
        <v>226.97</v>
      </c>
      <c r="G15" s="16">
        <f t="shared" si="3"/>
        <v>221.31</v>
      </c>
    </row>
    <row r="16" spans="2:7" ht="18.75" x14ac:dyDescent="0.25">
      <c r="B16" s="17" t="s">
        <v>201</v>
      </c>
      <c r="C16" s="28">
        <f>ROUND(C15-C12, 2)</f>
        <v>-68.540000000000006</v>
      </c>
      <c r="D16" s="28">
        <f t="shared" ref="D16:G16" si="4">ROUND(D15-D12, 2)</f>
        <v>-62.44</v>
      </c>
      <c r="E16" s="28">
        <f t="shared" si="4"/>
        <v>-69.75</v>
      </c>
      <c r="F16" s="28">
        <f t="shared" si="4"/>
        <v>-85.44</v>
      </c>
      <c r="G16" s="28">
        <f t="shared" si="4"/>
        <v>-83.24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B3DFF-0FB0-42A6-BC25-09EE0EAF1E1D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54847.83</v>
      </c>
      <c r="D5" s="16">
        <f>'Balance Sheet'!D9</f>
        <v>59842.98000000001</v>
      </c>
      <c r="E5" s="16">
        <f>'Balance Sheet'!E9</f>
        <v>62568.590000000011</v>
      </c>
      <c r="F5" s="16">
        <f>'Balance Sheet'!F9</f>
        <v>65583.590000000011</v>
      </c>
      <c r="G5" s="16">
        <f>'Balance Sheet'!G9</f>
        <v>72293.590000000011</v>
      </c>
    </row>
    <row r="6" spans="2:7" ht="18.75" x14ac:dyDescent="0.25">
      <c r="B6" s="15" t="str">
        <f>'Balance Sheet'!B21</f>
        <v>Total Liabilities</v>
      </c>
      <c r="C6" s="16">
        <f>'Balance Sheet'!C21</f>
        <v>147823.33000000002</v>
      </c>
      <c r="D6" s="16">
        <f>'Balance Sheet'!D21</f>
        <v>154972.94000000003</v>
      </c>
      <c r="E6" s="16">
        <f>'Balance Sheet'!E21</f>
        <v>173779.59000000003</v>
      </c>
      <c r="F6" s="16">
        <f>'Balance Sheet'!F21</f>
        <v>188749.59000000003</v>
      </c>
      <c r="G6" s="16">
        <f>'Balance Sheet'!G21</f>
        <v>217164.59000000003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54EA2B-FDB2-4E73-9D35-25478493AB8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12314.370000000024</v>
      </c>
      <c r="D5" s="16">
        <f>'Income Statement'!D17</f>
        <v>16461.630000000005</v>
      </c>
      <c r="E5" s="16">
        <f>'Income Statement'!E17</f>
        <v>14778</v>
      </c>
      <c r="F5" s="16">
        <f>'Income Statement'!F17</f>
        <v>16818</v>
      </c>
      <c r="G5" s="16">
        <f>'Income Statement'!G17</f>
        <v>21998</v>
      </c>
    </row>
    <row r="6" spans="2:7" ht="18.75" x14ac:dyDescent="0.25">
      <c r="B6" s="15" t="str">
        <f>'Income Statement'!B19</f>
        <v>PBIT</v>
      </c>
      <c r="C6" s="16">
        <f>'Income Statement'!C19</f>
        <v>7808.1300000000247</v>
      </c>
      <c r="D6" s="16">
        <f>'Income Statement'!D19</f>
        <v>11684.650000000005</v>
      </c>
      <c r="E6" s="16">
        <f>'Income Statement'!E19</f>
        <v>9687</v>
      </c>
      <c r="F6" s="16">
        <f>'Income Statement'!F19</f>
        <v>10190</v>
      </c>
      <c r="G6" s="16">
        <f>'Income Statement'!G19</f>
        <v>15269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83B86-53F9-4716-8307-54AE874EDE2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5" width="13.140625" bestFit="1" customWidth="1"/>
    <col min="6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49894.59</v>
      </c>
      <c r="D5" s="16">
        <f>'Balance Sheet'!D39</f>
        <v>79478.669999999984</v>
      </c>
      <c r="E5" s="16">
        <f>'Balance Sheet'!E39</f>
        <v>97529.569999999992</v>
      </c>
      <c r="F5" s="16">
        <f>'Balance Sheet'!F39</f>
        <v>101147.56999999999</v>
      </c>
      <c r="G5" s="16">
        <f>'Balance Sheet'!G39</f>
        <v>138416.57</v>
      </c>
    </row>
    <row r="6" spans="2:7" ht="18.75" x14ac:dyDescent="0.25">
      <c r="B6" s="15" t="str">
        <f>'Balance Sheet'!B19</f>
        <v>Total Current Liabilities</v>
      </c>
      <c r="C6" s="16">
        <f>'Balance Sheet'!C19</f>
        <v>37827.229999999996</v>
      </c>
      <c r="D6" s="16">
        <f>'Balance Sheet'!D19</f>
        <v>38409.67</v>
      </c>
      <c r="E6" s="16">
        <f>'Balance Sheet'!E19</f>
        <v>39434</v>
      </c>
      <c r="F6" s="16">
        <f>'Balance Sheet'!F19</f>
        <v>53649</v>
      </c>
      <c r="G6" s="16">
        <f>'Balance Sheet'!G19</f>
        <v>75994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9F17-039E-4DD8-BB9B-80514467CC2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7081.05</v>
      </c>
      <c r="D5" s="16">
        <f>'Balance Sheet'!D14</f>
        <v>7440.11</v>
      </c>
      <c r="E5" s="16">
        <f>'Balance Sheet'!E14</f>
        <v>8337</v>
      </c>
      <c r="F5" s="16">
        <f>'Balance Sheet'!F14</f>
        <v>8146</v>
      </c>
      <c r="G5" s="16">
        <f>'Balance Sheet'!G14</f>
        <v>6848</v>
      </c>
    </row>
    <row r="6" spans="2:7" ht="18.75" x14ac:dyDescent="0.25">
      <c r="B6" s="15" t="str">
        <f>'Balance Sheet'!B15</f>
        <v>Short Term Provisions</v>
      </c>
      <c r="C6" s="16">
        <f>'Balance Sheet'!C15</f>
        <v>1872.44</v>
      </c>
      <c r="D6" s="16">
        <f>'Balance Sheet'!D15</f>
        <v>1978.08</v>
      </c>
      <c r="E6" s="16">
        <f>'Balance Sheet'!E15</f>
        <v>2211</v>
      </c>
      <c r="F6" s="16">
        <f>'Balance Sheet'!F15</f>
        <v>2610</v>
      </c>
      <c r="G6" s="16">
        <f>'Balance Sheet'!G15</f>
        <v>2841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0EF60-EF12-43D4-84C0-BD4633132667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6" width="13.140625" bestFit="1" customWidth="1"/>
    <col min="7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79486.399999999994</v>
      </c>
      <c r="D5" s="16">
        <f>'Income Statement'!D11</f>
        <v>87686.82</v>
      </c>
      <c r="E5" s="16">
        <f>'Income Statement'!E11</f>
        <v>77727</v>
      </c>
      <c r="F5" s="16">
        <f>'Income Statement'!F11</f>
        <v>86276</v>
      </c>
      <c r="G5" s="16">
        <f>'Income Statement'!G11</f>
        <v>125335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C916E5-B4B8-4A38-B3C9-DA461A21A62A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115195.63</v>
      </c>
      <c r="D5" s="16">
        <f>'Income Statement'!D5</f>
        <v>129745.57</v>
      </c>
      <c r="E5" s="16">
        <f>'Income Statement'!E5</f>
        <v>117140</v>
      </c>
      <c r="F5" s="16">
        <f>'Income Statement'!F5</f>
        <v>131009</v>
      </c>
      <c r="G5" s="16">
        <f>'Income Statement'!G5</f>
        <v>195059</v>
      </c>
    </row>
    <row r="6" spans="2:7" ht="18.75" x14ac:dyDescent="0.25">
      <c r="B6" s="15" t="str">
        <f>'Income Statement'!B10</f>
        <v>Total Income</v>
      </c>
      <c r="C6" s="16">
        <f>'Income Statement'!C10</f>
        <v>115663.30000000002</v>
      </c>
      <c r="D6" s="16">
        <f>'Income Statement'!D10</f>
        <v>130872.68000000001</v>
      </c>
      <c r="E6" s="16">
        <f>'Income Statement'!E10</f>
        <v>118326</v>
      </c>
      <c r="F6" s="16">
        <f>'Income Statement'!F10</f>
        <v>132231</v>
      </c>
      <c r="G6" s="16">
        <f>'Income Statement'!G10</f>
        <v>196195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3D0E3-D078-4993-AF5E-2BEA86AB2284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4">
        <v>222.89</v>
      </c>
      <c r="D5" s="4">
        <v>222.39</v>
      </c>
      <c r="E5" s="4">
        <v>222</v>
      </c>
      <c r="F5" s="4">
        <v>222</v>
      </c>
      <c r="G5" s="4">
        <v>222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6">
        <f>C5+C6</f>
        <v>222.89</v>
      </c>
      <c r="D7" s="6">
        <f t="shared" ref="D7:G7" si="0">D5+D6</f>
        <v>222.39</v>
      </c>
      <c r="E7" s="6">
        <f t="shared" si="0"/>
        <v>222</v>
      </c>
      <c r="F7" s="6">
        <f t="shared" si="0"/>
        <v>222</v>
      </c>
      <c r="G7" s="6">
        <f t="shared" si="0"/>
        <v>222</v>
      </c>
    </row>
    <row r="8" spans="2:7" ht="18.75" x14ac:dyDescent="0.25">
      <c r="B8" s="8" t="s">
        <v>7</v>
      </c>
      <c r="C8" s="5">
        <v>54624.94</v>
      </c>
      <c r="D8" s="5">
        <f>'Income Statement'!D30+C8</f>
        <v>59620.590000000011</v>
      </c>
      <c r="E8" s="5">
        <f>'Income Statement'!E30+D8</f>
        <v>62346.590000000011</v>
      </c>
      <c r="F8" s="5">
        <f>'Income Statement'!F30+E8</f>
        <v>65361.590000000011</v>
      </c>
      <c r="G8" s="5">
        <f>'Income Statement'!G30+F8</f>
        <v>72071.590000000011</v>
      </c>
    </row>
    <row r="9" spans="2:7" ht="18.75" x14ac:dyDescent="0.25">
      <c r="B9" s="9" t="s">
        <v>122</v>
      </c>
      <c r="C9" s="7">
        <f>C7+C8</f>
        <v>54847.83</v>
      </c>
      <c r="D9" s="7">
        <f t="shared" ref="D9:G9" si="1">D7+D8</f>
        <v>59842.98000000001</v>
      </c>
      <c r="E9" s="7">
        <f t="shared" si="1"/>
        <v>62568.590000000011</v>
      </c>
      <c r="F9" s="7">
        <f t="shared" si="1"/>
        <v>65583.590000000011</v>
      </c>
      <c r="G9" s="7">
        <f t="shared" si="1"/>
        <v>72293.590000000011</v>
      </c>
    </row>
    <row r="10" spans="2:7" ht="18.75" x14ac:dyDescent="0.25">
      <c r="B10" s="8" t="s">
        <v>12</v>
      </c>
      <c r="C10" s="5">
        <v>47874.26</v>
      </c>
      <c r="D10" s="5">
        <v>48031.61</v>
      </c>
      <c r="E10" s="5">
        <v>58379</v>
      </c>
      <c r="F10" s="5">
        <v>58985</v>
      </c>
      <c r="G10" s="5">
        <v>51635</v>
      </c>
    </row>
    <row r="11" spans="2:7" ht="18.75" x14ac:dyDescent="0.25">
      <c r="B11" s="8" t="s">
        <v>13</v>
      </c>
      <c r="C11" s="5">
        <v>3867.21</v>
      </c>
      <c r="D11" s="5">
        <v>4453.47</v>
      </c>
      <c r="E11" s="5">
        <v>4671</v>
      </c>
      <c r="F11" s="5">
        <v>4493</v>
      </c>
      <c r="G11" s="5">
        <v>5631</v>
      </c>
    </row>
    <row r="12" spans="2:7" ht="18.75" x14ac:dyDescent="0.25">
      <c r="B12" s="8" t="s">
        <v>18</v>
      </c>
      <c r="C12" s="5">
        <v>3398.16</v>
      </c>
      <c r="D12" s="5">
        <v>4225.7299999999996</v>
      </c>
      <c r="E12" s="5">
        <v>8717</v>
      </c>
      <c r="F12" s="5">
        <v>6029</v>
      </c>
      <c r="G12" s="5">
        <v>11600</v>
      </c>
    </row>
    <row r="13" spans="2:7" ht="18.75" x14ac:dyDescent="0.25">
      <c r="B13" s="9" t="s">
        <v>123</v>
      </c>
      <c r="C13" s="7">
        <f>C10+C11+C12</f>
        <v>55139.630000000005</v>
      </c>
      <c r="D13" s="7">
        <f t="shared" ref="D13:G13" si="2">D10+D11+D12</f>
        <v>56710.81</v>
      </c>
      <c r="E13" s="7">
        <f t="shared" si="2"/>
        <v>71767</v>
      </c>
      <c r="F13" s="7">
        <f t="shared" si="2"/>
        <v>69507</v>
      </c>
      <c r="G13" s="7">
        <f t="shared" si="2"/>
        <v>68866</v>
      </c>
    </row>
    <row r="14" spans="2:7" ht="18.75" x14ac:dyDescent="0.25">
      <c r="B14" s="8" t="s">
        <v>15</v>
      </c>
      <c r="C14" s="5">
        <v>7081.05</v>
      </c>
      <c r="D14" s="5">
        <v>7440.11</v>
      </c>
      <c r="E14" s="5">
        <v>8337</v>
      </c>
      <c r="F14" s="5">
        <v>8146</v>
      </c>
      <c r="G14" s="5">
        <v>6848</v>
      </c>
    </row>
    <row r="15" spans="2:7" ht="18.75" x14ac:dyDescent="0.25">
      <c r="B15" s="8" t="s">
        <v>21</v>
      </c>
      <c r="C15" s="5">
        <v>1872.44</v>
      </c>
      <c r="D15" s="5">
        <v>1978.08</v>
      </c>
      <c r="E15" s="5">
        <v>2211</v>
      </c>
      <c r="F15" s="5">
        <v>2610</v>
      </c>
      <c r="G15" s="5">
        <v>2841</v>
      </c>
    </row>
    <row r="16" spans="2:7" ht="18.75" x14ac:dyDescent="0.25">
      <c r="B16" s="8" t="s">
        <v>14</v>
      </c>
      <c r="C16" s="5">
        <v>1383.67</v>
      </c>
      <c r="D16" s="5">
        <v>1456.36</v>
      </c>
      <c r="E16" s="5">
        <v>2597</v>
      </c>
      <c r="F16" s="5">
        <v>3039</v>
      </c>
      <c r="G16" s="5">
        <v>3473</v>
      </c>
    </row>
    <row r="17" spans="2:7" ht="18.75" x14ac:dyDescent="0.25">
      <c r="B17" s="8" t="s">
        <v>19</v>
      </c>
      <c r="C17" s="5">
        <v>20404.8</v>
      </c>
      <c r="D17" s="5">
        <v>20722.849999999999</v>
      </c>
      <c r="E17" s="5">
        <v>18300</v>
      </c>
      <c r="F17" s="5">
        <v>28280</v>
      </c>
      <c r="G17" s="5">
        <v>41382</v>
      </c>
    </row>
    <row r="18" spans="2:7" ht="18.75" x14ac:dyDescent="0.25">
      <c r="B18" s="8" t="s">
        <v>20</v>
      </c>
      <c r="C18" s="5">
        <v>7085.27</v>
      </c>
      <c r="D18" s="5">
        <v>6812.27</v>
      </c>
      <c r="E18" s="5">
        <v>7989</v>
      </c>
      <c r="F18" s="5">
        <v>11574</v>
      </c>
      <c r="G18" s="5">
        <v>21450</v>
      </c>
    </row>
    <row r="19" spans="2:7" ht="18.75" x14ac:dyDescent="0.25">
      <c r="B19" s="9" t="s">
        <v>22</v>
      </c>
      <c r="C19" s="7">
        <f>C14+C15+C16+C17+C18</f>
        <v>37827.229999999996</v>
      </c>
      <c r="D19" s="7">
        <f t="shared" ref="D19:G19" si="3">D14+D15+D16+D17+D18</f>
        <v>38409.67</v>
      </c>
      <c r="E19" s="7">
        <f t="shared" si="3"/>
        <v>39434</v>
      </c>
      <c r="F19" s="7">
        <f t="shared" si="3"/>
        <v>53649</v>
      </c>
      <c r="G19" s="7">
        <f t="shared" si="3"/>
        <v>75994</v>
      </c>
    </row>
    <row r="20" spans="2:7" ht="18.75" x14ac:dyDescent="0.25">
      <c r="B20" s="8" t="s">
        <v>10</v>
      </c>
      <c r="C20" s="4">
        <v>8.64</v>
      </c>
      <c r="D20" s="4">
        <v>9.48</v>
      </c>
      <c r="E20" s="4">
        <v>10</v>
      </c>
      <c r="F20" s="4">
        <v>10</v>
      </c>
      <c r="G20" s="4">
        <v>11</v>
      </c>
    </row>
    <row r="21" spans="2:7" ht="18.75" x14ac:dyDescent="0.25">
      <c r="B21" s="9" t="s">
        <v>124</v>
      </c>
      <c r="C21" s="7">
        <f>C9+C13+C19+C20</f>
        <v>147823.33000000002</v>
      </c>
      <c r="D21" s="7">
        <f t="shared" ref="D21:G21" si="4">D9+D13+D19+D20</f>
        <v>154972.94000000003</v>
      </c>
      <c r="E21" s="7">
        <f t="shared" si="4"/>
        <v>173779.59000000003</v>
      </c>
      <c r="F21" s="7">
        <f t="shared" si="4"/>
        <v>188749.59000000003</v>
      </c>
      <c r="G21" s="7">
        <f t="shared" si="4"/>
        <v>217164.59000000003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63910.31</v>
      </c>
      <c r="D23" s="5">
        <v>64208.08</v>
      </c>
      <c r="E23" s="5">
        <v>66089</v>
      </c>
      <c r="F23" s="5">
        <v>70870</v>
      </c>
      <c r="G23" s="5">
        <v>87854</v>
      </c>
    </row>
    <row r="24" spans="2:7" ht="18.75" x14ac:dyDescent="0.25">
      <c r="B24" s="8" t="s">
        <v>27</v>
      </c>
      <c r="C24" s="4">
        <v>3348.68</v>
      </c>
      <c r="D24" s="5">
        <v>3076.53</v>
      </c>
      <c r="E24" s="5">
        <v>3008</v>
      </c>
      <c r="F24" s="5">
        <v>6082</v>
      </c>
      <c r="G24" s="5">
        <v>0</v>
      </c>
    </row>
    <row r="25" spans="2:7" ht="18.75" x14ac:dyDescent="0.25">
      <c r="B25" s="8" t="s">
        <v>125</v>
      </c>
      <c r="C25" s="4"/>
      <c r="D25" s="5">
        <f>'Income Statement'!D18</f>
        <v>4776.9799999999996</v>
      </c>
      <c r="E25" s="5">
        <f>'Income Statement'!E18+D25</f>
        <v>9867.98</v>
      </c>
      <c r="F25" s="5">
        <f>'Income Statement'!F18+E25</f>
        <v>16495.98</v>
      </c>
      <c r="G25" s="5">
        <f>'Income Statement'!G18+F25</f>
        <v>23224.98</v>
      </c>
    </row>
    <row r="26" spans="2:7" ht="18.75" x14ac:dyDescent="0.25">
      <c r="B26" s="9" t="s">
        <v>126</v>
      </c>
      <c r="C26" s="7">
        <f>C23+C24-C25</f>
        <v>67258.989999999991</v>
      </c>
      <c r="D26" s="7">
        <f t="shared" ref="D26:G26" si="5">D23+D24-D25</f>
        <v>62507.630000000005</v>
      </c>
      <c r="E26" s="7">
        <f t="shared" si="5"/>
        <v>59229.020000000004</v>
      </c>
      <c r="F26" s="7">
        <f t="shared" si="5"/>
        <v>60456.020000000004</v>
      </c>
      <c r="G26" s="7">
        <f t="shared" si="5"/>
        <v>64629.020000000004</v>
      </c>
    </row>
    <row r="27" spans="2:7" ht="18.75" x14ac:dyDescent="0.25">
      <c r="B27" s="8" t="s">
        <v>30</v>
      </c>
      <c r="C27" s="5">
        <v>6877.83</v>
      </c>
      <c r="D27" s="5">
        <v>5156.7</v>
      </c>
      <c r="E27" s="5">
        <v>3132</v>
      </c>
      <c r="F27" s="5">
        <v>7716</v>
      </c>
      <c r="G27" s="5">
        <v>8667</v>
      </c>
    </row>
    <row r="28" spans="2:7" ht="18.75" x14ac:dyDescent="0.25">
      <c r="B28" s="8" t="s">
        <v>36</v>
      </c>
      <c r="C28" s="5">
        <v>3903.48</v>
      </c>
      <c r="D28" s="5">
        <v>3855.31</v>
      </c>
      <c r="E28" s="5">
        <v>6279</v>
      </c>
      <c r="F28" s="5">
        <v>9417</v>
      </c>
      <c r="G28" s="5">
        <v>5452</v>
      </c>
    </row>
    <row r="29" spans="2:7" ht="18.75" x14ac:dyDescent="0.25">
      <c r="B29" s="8" t="s">
        <v>28</v>
      </c>
      <c r="C29" s="4">
        <v>19888.439999999999</v>
      </c>
      <c r="D29" s="5">
        <v>3974.63</v>
      </c>
      <c r="E29" s="5">
        <v>7610</v>
      </c>
      <c r="F29" s="5">
        <v>10013</v>
      </c>
      <c r="G29" s="5">
        <v>0</v>
      </c>
    </row>
    <row r="30" spans="2:7" ht="18.75" x14ac:dyDescent="0.25">
      <c r="B30" s="9" t="s">
        <v>127</v>
      </c>
      <c r="C30" s="7">
        <f>C26+C27+C28+C29</f>
        <v>97928.739999999991</v>
      </c>
      <c r="D30" s="7">
        <f t="shared" ref="D30:G30" si="6">D26+D27+D28+D29</f>
        <v>75494.27</v>
      </c>
      <c r="E30" s="7">
        <f t="shared" si="6"/>
        <v>76250.02</v>
      </c>
      <c r="F30" s="7">
        <f t="shared" si="6"/>
        <v>87602.02</v>
      </c>
      <c r="G30" s="7">
        <f t="shared" si="6"/>
        <v>78748.02</v>
      </c>
    </row>
    <row r="31" spans="2:7" ht="18.75" x14ac:dyDescent="0.25">
      <c r="B31" s="8" t="s">
        <v>31</v>
      </c>
      <c r="C31" s="5">
        <v>813.45</v>
      </c>
      <c r="D31" s="4">
        <v>802.94</v>
      </c>
      <c r="E31" s="4">
        <v>910</v>
      </c>
      <c r="F31" s="4">
        <v>887</v>
      </c>
      <c r="G31" s="4">
        <v>1207</v>
      </c>
    </row>
    <row r="32" spans="2:7" ht="18.75" x14ac:dyDescent="0.25">
      <c r="B32" s="8" t="s">
        <v>32</v>
      </c>
      <c r="C32" s="4">
        <v>77.48</v>
      </c>
      <c r="D32" s="4">
        <v>72.53</v>
      </c>
      <c r="E32" s="4">
        <v>12</v>
      </c>
      <c r="F32" s="4">
        <v>12</v>
      </c>
      <c r="G32" s="4">
        <v>50</v>
      </c>
    </row>
    <row r="33" spans="2:7" ht="18.75" x14ac:dyDescent="0.25">
      <c r="B33" s="8" t="s">
        <v>33</v>
      </c>
      <c r="C33" s="5">
        <v>2943.89</v>
      </c>
      <c r="D33" s="5">
        <v>2649.69</v>
      </c>
      <c r="E33" s="5">
        <v>2276</v>
      </c>
      <c r="F33" s="5">
        <v>2985</v>
      </c>
      <c r="G33" s="5">
        <v>2776</v>
      </c>
    </row>
    <row r="34" spans="2:7" ht="18.75" x14ac:dyDescent="0.25">
      <c r="B34" s="8" t="s">
        <v>40</v>
      </c>
      <c r="C34" s="4">
        <v>57.95</v>
      </c>
      <c r="D34" s="4">
        <v>57.74</v>
      </c>
      <c r="E34" s="4">
        <v>55</v>
      </c>
      <c r="F34" s="4">
        <v>47</v>
      </c>
      <c r="G34" s="4">
        <v>7</v>
      </c>
    </row>
    <row r="35" spans="2:7" ht="18.75" x14ac:dyDescent="0.25">
      <c r="B35" s="8" t="s">
        <v>41</v>
      </c>
      <c r="C35" s="5">
        <v>6352.86</v>
      </c>
      <c r="D35" s="5">
        <v>6640.34</v>
      </c>
      <c r="E35" s="5">
        <v>6650</v>
      </c>
      <c r="F35" s="5">
        <v>5728</v>
      </c>
      <c r="G35" s="5">
        <v>10133</v>
      </c>
    </row>
    <row r="36" spans="2:7" ht="18.75" x14ac:dyDescent="0.25">
      <c r="B36" s="8" t="s">
        <v>37</v>
      </c>
      <c r="C36" s="5">
        <v>21631.39</v>
      </c>
      <c r="D36" s="5">
        <v>22193.79</v>
      </c>
      <c r="E36" s="5">
        <v>22384</v>
      </c>
      <c r="F36" s="5">
        <v>30668</v>
      </c>
      <c r="G36" s="5">
        <v>44483</v>
      </c>
    </row>
    <row r="37" spans="2:7" ht="18.75" x14ac:dyDescent="0.25">
      <c r="B37" s="8" t="s">
        <v>38</v>
      </c>
      <c r="C37" s="5">
        <v>9959.81</v>
      </c>
      <c r="D37" s="5">
        <v>11459.76</v>
      </c>
      <c r="E37" s="5">
        <v>9345</v>
      </c>
      <c r="F37" s="5">
        <v>12959</v>
      </c>
      <c r="G37" s="5">
        <v>21076</v>
      </c>
    </row>
    <row r="38" spans="2:7" ht="18.75" x14ac:dyDescent="0.25">
      <c r="B38" s="8" t="s">
        <v>39</v>
      </c>
      <c r="C38" s="5">
        <v>8057.76</v>
      </c>
      <c r="D38" s="5">
        <f>'CashFlow Statement'!D48+C38</f>
        <v>35601.87999999999</v>
      </c>
      <c r="E38" s="5">
        <f>'CashFlow Statement'!E48+D38</f>
        <v>55897.569999999992</v>
      </c>
      <c r="F38" s="5">
        <f>'CashFlow Statement'!F48+E38</f>
        <v>47861.569999999992</v>
      </c>
      <c r="G38" s="5">
        <f>'CashFlow Statement'!G48+F38</f>
        <v>58684.569999999992</v>
      </c>
    </row>
    <row r="39" spans="2:7" ht="18.75" x14ac:dyDescent="0.25">
      <c r="B39" s="9" t="s">
        <v>42</v>
      </c>
      <c r="C39" s="7">
        <f>C31+C32+C33+C34+C35+C36+C37+C38</f>
        <v>49894.59</v>
      </c>
      <c r="D39" s="7">
        <f t="shared" ref="D39:G39" si="7">D31+D32+D33+D34+D35+D36+D37+D38</f>
        <v>79478.669999999984</v>
      </c>
      <c r="E39" s="7">
        <f t="shared" si="7"/>
        <v>97529.569999999992</v>
      </c>
      <c r="F39" s="7">
        <f t="shared" si="7"/>
        <v>101147.56999999999</v>
      </c>
      <c r="G39" s="7">
        <f t="shared" si="7"/>
        <v>138416.57</v>
      </c>
    </row>
    <row r="40" spans="2:7" ht="18.75" x14ac:dyDescent="0.25">
      <c r="B40" s="9" t="s">
        <v>43</v>
      </c>
      <c r="C40" s="7">
        <f>C30+C39</f>
        <v>147823.32999999999</v>
      </c>
      <c r="D40" s="7">
        <f t="shared" ref="D40:G40" si="8">D30+D39</f>
        <v>154972.94</v>
      </c>
      <c r="E40" s="7">
        <f t="shared" si="8"/>
        <v>173779.59</v>
      </c>
      <c r="F40" s="7">
        <f t="shared" si="8"/>
        <v>188749.59</v>
      </c>
      <c r="G40" s="7">
        <f t="shared" si="8"/>
        <v>217164.59000000003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77D563-4623-4C97-9C78-8A2A22941CB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147823.33000000002</v>
      </c>
      <c r="D5" s="16">
        <f>'Balance Sheet'!D21</f>
        <v>154972.94000000003</v>
      </c>
      <c r="E5" s="16">
        <f>'Balance Sheet'!E21</f>
        <v>173779.59000000003</v>
      </c>
      <c r="F5" s="16">
        <f>'Balance Sheet'!F21</f>
        <v>188749.59000000003</v>
      </c>
      <c r="G5" s="16">
        <f>'Balance Sheet'!G21</f>
        <v>217164.59000000003</v>
      </c>
    </row>
    <row r="6" spans="2:7" ht="18.75" x14ac:dyDescent="0.25">
      <c r="B6" s="15" t="str">
        <f>'Balance Sheet'!B13</f>
        <v>Total Debt</v>
      </c>
      <c r="C6" s="16">
        <f>'Balance Sheet'!C13</f>
        <v>55139.630000000005</v>
      </c>
      <c r="D6" s="16">
        <f>'Balance Sheet'!D13</f>
        <v>56710.81</v>
      </c>
      <c r="E6" s="16">
        <f>'Balance Sheet'!E13</f>
        <v>71767</v>
      </c>
      <c r="F6" s="16">
        <f>'Balance Sheet'!F13</f>
        <v>69507</v>
      </c>
      <c r="G6" s="16">
        <f>'Balance Sheet'!G13</f>
        <v>68866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75B03-D99A-46B7-8995-B2F85E83575B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147823.33000000002</v>
      </c>
      <c r="D5" s="16">
        <f>'Balance Sheet'!D21</f>
        <v>154972.94000000003</v>
      </c>
      <c r="E5" s="16">
        <f>'Balance Sheet'!E21</f>
        <v>173779.59000000003</v>
      </c>
      <c r="F5" s="16">
        <f>'Balance Sheet'!F21</f>
        <v>188749.59000000003</v>
      </c>
      <c r="G5" s="16">
        <f>'Balance Sheet'!G21</f>
        <v>217164.59000000003</v>
      </c>
    </row>
    <row r="6" spans="2:7" ht="18.75" x14ac:dyDescent="0.25">
      <c r="B6" s="15" t="str">
        <f>'Balance Sheet'!B19</f>
        <v>Total Current Liabilities</v>
      </c>
      <c r="C6" s="16">
        <f>'Balance Sheet'!C19</f>
        <v>37827.229999999996</v>
      </c>
      <c r="D6" s="16">
        <f>'Balance Sheet'!D19</f>
        <v>38409.67</v>
      </c>
      <c r="E6" s="16">
        <f>'Balance Sheet'!E19</f>
        <v>39434</v>
      </c>
      <c r="F6" s="16">
        <f>'Balance Sheet'!F19</f>
        <v>53649</v>
      </c>
      <c r="G6" s="16">
        <f>'Balance Sheet'!G19</f>
        <v>75994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D3E21-02B5-4870-BCD9-86296EFA2394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147823.32999999999</v>
      </c>
      <c r="D5" s="16">
        <f>'Balance Sheet'!D40</f>
        <v>154972.94</v>
      </c>
      <c r="E5" s="16">
        <f>'Balance Sheet'!E40</f>
        <v>173779.59</v>
      </c>
      <c r="F5" s="16">
        <f>'Balance Sheet'!F40</f>
        <v>188749.59</v>
      </c>
      <c r="G5" s="16">
        <f>'Balance Sheet'!G40</f>
        <v>217164.59000000003</v>
      </c>
    </row>
    <row r="6" spans="2:7" ht="18.75" x14ac:dyDescent="0.25">
      <c r="B6" s="15" t="str">
        <f>'Balance Sheet'!B30</f>
        <v>Total Non Current Assets</v>
      </c>
      <c r="C6" s="16">
        <f>'Balance Sheet'!C30</f>
        <v>97928.739999999991</v>
      </c>
      <c r="D6" s="16">
        <f>'Balance Sheet'!D30</f>
        <v>75494.27</v>
      </c>
      <c r="E6" s="16">
        <f>'Balance Sheet'!E30</f>
        <v>76250.02</v>
      </c>
      <c r="F6" s="16">
        <f>'Balance Sheet'!F30</f>
        <v>87602.02</v>
      </c>
      <c r="G6" s="16">
        <f>'Balance Sheet'!G30</f>
        <v>78748.02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F1A4C-1A9D-4C2A-9FA8-9310DE2D2DA0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147823.32999999999</v>
      </c>
      <c r="D5" s="16">
        <f>'Balance Sheet'!D40</f>
        <v>154972.94</v>
      </c>
      <c r="E5" s="16">
        <f>'Balance Sheet'!E40</f>
        <v>173779.59</v>
      </c>
      <c r="F5" s="16">
        <f>'Balance Sheet'!F40</f>
        <v>188749.59</v>
      </c>
      <c r="G5" s="16">
        <f>'Balance Sheet'!G40</f>
        <v>217164.59000000003</v>
      </c>
    </row>
    <row r="6" spans="2:7" ht="18.75" x14ac:dyDescent="0.25">
      <c r="B6" s="15" t="str">
        <f>'Balance Sheet'!B39</f>
        <v>Total Current Assets</v>
      </c>
      <c r="C6" s="16">
        <f>'Balance Sheet'!C39</f>
        <v>49894.59</v>
      </c>
      <c r="D6" s="16">
        <f>'Balance Sheet'!D39</f>
        <v>79478.669999999984</v>
      </c>
      <c r="E6" s="16">
        <f>'Balance Sheet'!E39</f>
        <v>97529.569999999992</v>
      </c>
      <c r="F6" s="16">
        <f>'Balance Sheet'!F39</f>
        <v>101147.56999999999</v>
      </c>
      <c r="G6" s="16">
        <f>'Balance Sheet'!G39</f>
        <v>138416.57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369F8-EA76-4FE6-8D57-2CFC09D02903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103348.93</v>
      </c>
      <c r="D5" s="16">
        <f>'Income Statement'!D15</f>
        <v>114411.05</v>
      </c>
      <c r="E5" s="16">
        <f>'Income Statement'!E15</f>
        <v>103548</v>
      </c>
      <c r="F5" s="16">
        <f>'Income Statement'!F15</f>
        <v>115413</v>
      </c>
      <c r="G5" s="16">
        <f>'Income Statement'!G15</f>
        <v>174197</v>
      </c>
    </row>
    <row r="6" spans="2:7" ht="18.75" x14ac:dyDescent="0.25">
      <c r="B6" s="15" t="str">
        <f>'Income Statement'!B10</f>
        <v>Total Income</v>
      </c>
      <c r="C6" s="16">
        <f>'Income Statement'!C10</f>
        <v>115663.30000000002</v>
      </c>
      <c r="D6" s="16">
        <f>'Income Statement'!D10</f>
        <v>130872.68000000001</v>
      </c>
      <c r="E6" s="16">
        <f>'Income Statement'!E10</f>
        <v>118326</v>
      </c>
      <c r="F6" s="16">
        <f>'Income Statement'!F10</f>
        <v>132231</v>
      </c>
      <c r="G6" s="16">
        <f>'Income Statement'!G10</f>
        <v>196195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5F52EE-110E-4EB6-A1E0-C4E4235EA217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3303.6300000000247</v>
      </c>
      <c r="D5" s="16">
        <f>'Income Statement'!D30</f>
        <v>4995.6500000000051</v>
      </c>
      <c r="E5" s="16">
        <f>'Income Statement'!E30</f>
        <v>2726</v>
      </c>
      <c r="F5" s="16">
        <f>'Income Statement'!F30</f>
        <v>3015</v>
      </c>
      <c r="G5" s="16">
        <f>'Income Statement'!G30</f>
        <v>6710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3597.3900000000249</v>
      </c>
      <c r="D6" s="16">
        <f>'Income Statement'!D27</f>
        <v>5318.520000000005</v>
      </c>
      <c r="E6" s="16">
        <f>'Income Statement'!E27</f>
        <v>3049</v>
      </c>
      <c r="F6" s="16">
        <f>'Income Statement'!F27</f>
        <v>3237</v>
      </c>
      <c r="G6" s="16">
        <f>'Income Statement'!G27</f>
        <v>6710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4B0A8-4C0C-4190-89B0-31EDDC849D2D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5" width="15.42578125" bestFit="1" customWidth="1"/>
    <col min="6" max="6" width="16.5703125" bestFit="1" customWidth="1"/>
    <col min="7" max="7" width="15.4257812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7906.6100000000051</v>
      </c>
      <c r="E5" s="5">
        <f>'Income Statement'!E25</f>
        <v>5206</v>
      </c>
      <c r="F5" s="5">
        <f>'Income Statement'!F25</f>
        <v>5960</v>
      </c>
      <c r="G5" s="5">
        <f>'Income Statement'!G25</f>
        <v>12083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4776.9799999999996</v>
      </c>
      <c r="E7" s="5">
        <f>'Income Statement'!E18</f>
        <v>5091</v>
      </c>
      <c r="F7" s="5">
        <f>'Income Statement'!F18</f>
        <v>6628</v>
      </c>
      <c r="G7" s="5">
        <f>'Income Statement'!G18</f>
        <v>6729</v>
      </c>
    </row>
    <row r="8" spans="2:7" ht="18.75" x14ac:dyDescent="0.25">
      <c r="B8" s="8" t="s">
        <v>131</v>
      </c>
      <c r="C8" s="4"/>
      <c r="D8" s="5">
        <f>'Income Statement'!D20</f>
        <v>3778.04</v>
      </c>
      <c r="E8" s="5">
        <f>'Income Statement'!E20</f>
        <v>4197</v>
      </c>
      <c r="F8" s="5">
        <f>'Income Statement'!F20</f>
        <v>3738</v>
      </c>
      <c r="G8" s="5">
        <f>'Income Statement'!G20</f>
        <v>3768</v>
      </c>
    </row>
    <row r="9" spans="2:7" ht="18.75" x14ac:dyDescent="0.25">
      <c r="B9" s="8" t="s">
        <v>59</v>
      </c>
      <c r="C9" s="4"/>
      <c r="D9" s="5">
        <f>'Income Statement'!D8</f>
        <v>1127.1099999999999</v>
      </c>
      <c r="E9" s="5">
        <f>'Income Statement'!E8</f>
        <v>1186</v>
      </c>
      <c r="F9" s="5">
        <f>'Income Statement'!F8</f>
        <v>1222</v>
      </c>
      <c r="G9" s="5">
        <f>'Income Statement'!G8</f>
        <v>1136</v>
      </c>
    </row>
    <row r="10" spans="2:7" ht="18.75" x14ac:dyDescent="0.25">
      <c r="B10" s="9" t="s">
        <v>132</v>
      </c>
      <c r="C10" s="6"/>
      <c r="D10" s="7">
        <f>D7+D8-D9</f>
        <v>7427.9100000000008</v>
      </c>
      <c r="E10" s="7">
        <f t="shared" ref="E10:G10" si="0">E7+E8-E9</f>
        <v>8102</v>
      </c>
      <c r="F10" s="7">
        <f t="shared" si="0"/>
        <v>9144</v>
      </c>
      <c r="G10" s="7">
        <f t="shared" si="0"/>
        <v>9361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10.509999999999991</v>
      </c>
      <c r="E12" s="5">
        <f>'Balance Sheet'!D31-'Balance Sheet'!E31</f>
        <v>-107.05999999999995</v>
      </c>
      <c r="F12" s="5">
        <f>'Balance Sheet'!E31-'Balance Sheet'!F31</f>
        <v>23</v>
      </c>
      <c r="G12" s="5">
        <f>'Balance Sheet'!F31-'Balance Sheet'!G31</f>
        <v>-320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4.9500000000000028</v>
      </c>
      <c r="E13" s="4">
        <f>'Balance Sheet'!D32-'Balance Sheet'!E32</f>
        <v>60.53</v>
      </c>
      <c r="F13" s="4">
        <f>'Balance Sheet'!E32-'Balance Sheet'!F32</f>
        <v>0</v>
      </c>
      <c r="G13" s="4">
        <f>'Balance Sheet'!F32-'Balance Sheet'!G32</f>
        <v>-38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294.19999999999982</v>
      </c>
      <c r="E14" s="5">
        <f>'Balance Sheet'!D33-'Balance Sheet'!E33</f>
        <v>373.69000000000005</v>
      </c>
      <c r="F14" s="5">
        <f>'Balance Sheet'!E33-'Balance Sheet'!F33</f>
        <v>-709</v>
      </c>
      <c r="G14" s="5">
        <f>'Balance Sheet'!F33-'Balance Sheet'!G33</f>
        <v>209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0.21000000000000085</v>
      </c>
      <c r="E15" s="4">
        <f>'Balance Sheet'!D34-'Balance Sheet'!E34</f>
        <v>2.740000000000002</v>
      </c>
      <c r="F15" s="4">
        <f>'Balance Sheet'!E34-'Balance Sheet'!F34</f>
        <v>8</v>
      </c>
      <c r="G15" s="4">
        <f>'Balance Sheet'!F34-'Balance Sheet'!G34</f>
        <v>40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-287.48000000000047</v>
      </c>
      <c r="E16" s="5">
        <f>'Balance Sheet'!D35-'Balance Sheet'!E35</f>
        <v>-9.6599999999998545</v>
      </c>
      <c r="F16" s="5">
        <f>'Balance Sheet'!E35-'Balance Sheet'!F35</f>
        <v>922</v>
      </c>
      <c r="G16" s="5">
        <f>'Balance Sheet'!F35-'Balance Sheet'!G35</f>
        <v>-4405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-562.40000000000146</v>
      </c>
      <c r="E17" s="5">
        <f>'Balance Sheet'!D36-'Balance Sheet'!E36</f>
        <v>-190.20999999999913</v>
      </c>
      <c r="F17" s="5">
        <f>'Balance Sheet'!E36-'Balance Sheet'!F36</f>
        <v>-8284</v>
      </c>
      <c r="G17" s="5">
        <f>'Balance Sheet'!F36-'Balance Sheet'!G36</f>
        <v>-13815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-1499.9500000000007</v>
      </c>
      <c r="E18" s="5">
        <f>'Balance Sheet'!D37-'Balance Sheet'!E37</f>
        <v>2114.7600000000002</v>
      </c>
      <c r="F18" s="5">
        <f>'Balance Sheet'!E37-'Balance Sheet'!F37</f>
        <v>-3614</v>
      </c>
      <c r="G18" s="5">
        <f>'Balance Sheet'!F37-'Balance Sheet'!G37</f>
        <v>-8117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359.05999999999949</v>
      </c>
      <c r="E20" s="5">
        <f>'Balance Sheet'!E14-'Balance Sheet'!D14</f>
        <v>896.89000000000033</v>
      </c>
      <c r="F20" s="5">
        <f>'Balance Sheet'!F14-'Balance Sheet'!E14</f>
        <v>-191</v>
      </c>
      <c r="G20" s="5">
        <f>'Balance Sheet'!G14-'Balance Sheet'!F14</f>
        <v>-1298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105.63999999999987</v>
      </c>
      <c r="E21" s="5">
        <f>'Balance Sheet'!E15-'Balance Sheet'!D15</f>
        <v>232.92000000000007</v>
      </c>
      <c r="F21" s="5">
        <f>'Balance Sheet'!F15-'Balance Sheet'!E15</f>
        <v>399</v>
      </c>
      <c r="G21" s="5">
        <f>'Balance Sheet'!G15-'Balance Sheet'!F15</f>
        <v>231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72.689999999999827</v>
      </c>
      <c r="E22" s="5">
        <f>'Balance Sheet'!E16-'Balance Sheet'!D16</f>
        <v>1140.6400000000001</v>
      </c>
      <c r="F22" s="5">
        <f>'Balance Sheet'!F16-'Balance Sheet'!E16</f>
        <v>442</v>
      </c>
      <c r="G22" s="5">
        <f>'Balance Sheet'!G16-'Balance Sheet'!F16</f>
        <v>434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318.04999999999927</v>
      </c>
      <c r="E23" s="5">
        <f>'Balance Sheet'!E17-'Balance Sheet'!D17</f>
        <v>-2422.8499999999985</v>
      </c>
      <c r="F23" s="5">
        <f>'Balance Sheet'!F17-'Balance Sheet'!E17</f>
        <v>9980</v>
      </c>
      <c r="G23" s="5">
        <f>'Balance Sheet'!G17-'Balance Sheet'!F17</f>
        <v>13102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-273</v>
      </c>
      <c r="E24" s="5">
        <f>'Balance Sheet'!E18-'Balance Sheet'!D18</f>
        <v>1176.7299999999996</v>
      </c>
      <c r="F24" s="5">
        <f>'Balance Sheet'!F18-'Balance Sheet'!E18</f>
        <v>3585</v>
      </c>
      <c r="G24" s="5">
        <f>'Balance Sheet'!G18-'Balance Sheet'!F18</f>
        <v>9876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2588.09</v>
      </c>
      <c r="E26" s="5">
        <f>'Income Statement'!E26</f>
        <v>2157</v>
      </c>
      <c r="F26" s="5">
        <f>'Income Statement'!F26</f>
        <v>2723</v>
      </c>
      <c r="G26" s="5">
        <f>'Income Statement'!G26</f>
        <v>5373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11288.910000000002</v>
      </c>
      <c r="E27" s="7">
        <f t="shared" ref="E27:G27" si="1">E12+E13+E14+E15+E16+E17+E18+E20+E21+E22+E23+E24-E26+E10+E5</f>
        <v>14420.120000000003</v>
      </c>
      <c r="F27" s="7">
        <f t="shared" si="1"/>
        <v>14942</v>
      </c>
      <c r="G27" s="7">
        <f t="shared" si="1"/>
        <v>11970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-297.77000000000407</v>
      </c>
      <c r="E29" s="5">
        <f>'Balance Sheet'!D23-'Balance Sheet'!E23</f>
        <v>-1880.9199999999983</v>
      </c>
      <c r="F29" s="5">
        <f>'Balance Sheet'!E23-'Balance Sheet'!F23</f>
        <v>-4781</v>
      </c>
      <c r="G29" s="5">
        <f>'Balance Sheet'!F23-'Balance Sheet'!G23</f>
        <v>-16984</v>
      </c>
    </row>
    <row r="30" spans="2:7" ht="18.75" x14ac:dyDescent="0.25">
      <c r="B30" s="8" t="str">
        <f>'Balance Sheet'!B24</f>
        <v>Intangible Assets</v>
      </c>
      <c r="C30" s="4"/>
      <c r="D30" s="5">
        <f>'Balance Sheet'!C24-'Balance Sheet'!D24</f>
        <v>272.14999999999964</v>
      </c>
      <c r="E30" s="5">
        <f>'Balance Sheet'!D24-'Balance Sheet'!E24</f>
        <v>68.5300000000002</v>
      </c>
      <c r="F30" s="5">
        <f>'Balance Sheet'!E24-'Balance Sheet'!F24</f>
        <v>-3074</v>
      </c>
      <c r="G30" s="5">
        <f>'Balance Sheet'!F24-'Balance Sheet'!G24</f>
        <v>6082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1721.13</v>
      </c>
      <c r="E31" s="5">
        <f>'Balance Sheet'!D27-'Balance Sheet'!E27</f>
        <v>2024.6999999999998</v>
      </c>
      <c r="F31" s="5">
        <f>'Balance Sheet'!E27-'Balance Sheet'!F27</f>
        <v>-4584</v>
      </c>
      <c r="G31" s="5">
        <f>'Balance Sheet'!F27-'Balance Sheet'!G27</f>
        <v>-951</v>
      </c>
    </row>
    <row r="32" spans="2:7" ht="18.75" x14ac:dyDescent="0.25">
      <c r="B32" s="8" t="str">
        <f>'Balance Sheet'!B28</f>
        <v>Current Investments</v>
      </c>
      <c r="C32" s="4"/>
      <c r="D32" s="5">
        <f>'Balance Sheet'!C28-'Balance Sheet'!D28</f>
        <v>48.170000000000073</v>
      </c>
      <c r="E32" s="5">
        <f>'Balance Sheet'!D28-'Balance Sheet'!E28</f>
        <v>-2423.69</v>
      </c>
      <c r="F32" s="5">
        <f>'Balance Sheet'!E28-'Balance Sheet'!F28</f>
        <v>-3138</v>
      </c>
      <c r="G32" s="5">
        <f>'Balance Sheet'!F28-'Balance Sheet'!G28</f>
        <v>3965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15913.809999999998</v>
      </c>
      <c r="E33" s="5">
        <f>'Balance Sheet'!D29-'Balance Sheet'!E29</f>
        <v>-3635.37</v>
      </c>
      <c r="F33" s="5">
        <f>'Balance Sheet'!E29-'Balance Sheet'!F29</f>
        <v>-2403</v>
      </c>
      <c r="G33" s="5">
        <f>'Balance Sheet'!F29-'Balance Sheet'!G29</f>
        <v>10013</v>
      </c>
    </row>
    <row r="34" spans="2:7" ht="18.75" x14ac:dyDescent="0.25">
      <c r="B34" s="8" t="s">
        <v>59</v>
      </c>
      <c r="C34" s="4"/>
      <c r="D34" s="5">
        <f>'Income Statement'!D8</f>
        <v>1127.1099999999999</v>
      </c>
      <c r="E34" s="5">
        <f>'Income Statement'!E8</f>
        <v>1186</v>
      </c>
      <c r="F34" s="5">
        <f>'Income Statement'!F8</f>
        <v>1222</v>
      </c>
      <c r="G34" s="5">
        <f>'Income Statement'!G8</f>
        <v>1136</v>
      </c>
    </row>
    <row r="35" spans="2:7" ht="18.75" x14ac:dyDescent="0.25">
      <c r="B35" s="9" t="s">
        <v>137</v>
      </c>
      <c r="C35" s="6"/>
      <c r="D35" s="7">
        <f>D29+D30+D31+D32+D33+D34</f>
        <v>18784.599999999995</v>
      </c>
      <c r="E35" s="7">
        <f t="shared" ref="E35:G35" si="2">E29+E30+E31+E32+E33+E34</f>
        <v>-4660.7499999999982</v>
      </c>
      <c r="F35" s="7">
        <f t="shared" si="2"/>
        <v>-16758</v>
      </c>
      <c r="G35" s="7">
        <f t="shared" si="2"/>
        <v>3261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4">
        <f>'Balance Sheet'!D5-'Balance Sheet'!C5</f>
        <v>-0.5</v>
      </c>
      <c r="E37" s="4">
        <f>'Balance Sheet'!E5-'Balance Sheet'!D5</f>
        <v>-0.38999999999998636</v>
      </c>
      <c r="F37" s="4">
        <f>'Balance Sheet'!F5-'Balance Sheet'!E5</f>
        <v>0</v>
      </c>
      <c r="G37" s="4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157.34999999999854</v>
      </c>
      <c r="E39" s="5">
        <f>'Balance Sheet'!E10-'Balance Sheet'!D10</f>
        <v>10347.39</v>
      </c>
      <c r="F39" s="5">
        <f>'Balance Sheet'!F10-'Balance Sheet'!E10</f>
        <v>606</v>
      </c>
      <c r="G39" s="5">
        <f>'Balance Sheet'!G10-'Balance Sheet'!F10</f>
        <v>-7350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586.26000000000022</v>
      </c>
      <c r="E40" s="5">
        <f>'Balance Sheet'!E11-'Balance Sheet'!D11</f>
        <v>217.52999999999975</v>
      </c>
      <c r="F40" s="5">
        <f>'Balance Sheet'!F11-'Balance Sheet'!E11</f>
        <v>-178</v>
      </c>
      <c r="G40" s="5">
        <f>'Balance Sheet'!G11-'Balance Sheet'!F11</f>
        <v>1138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827.56999999999971</v>
      </c>
      <c r="E41" s="5">
        <f>'Balance Sheet'!E12-'Balance Sheet'!D12</f>
        <v>4491.2700000000004</v>
      </c>
      <c r="F41" s="5">
        <f>'Balance Sheet'!F12-'Balance Sheet'!E12</f>
        <v>-2688</v>
      </c>
      <c r="G41" s="5">
        <f>'Balance Sheet'!G12-'Balance Sheet'!F12</f>
        <v>5571</v>
      </c>
    </row>
    <row r="42" spans="2:7" ht="18.75" x14ac:dyDescent="0.25">
      <c r="B42" s="8" t="str">
        <f>'Balance Sheet'!B20:G20</f>
        <v>Minority Interest</v>
      </c>
      <c r="C42" s="4"/>
      <c r="D42" s="4">
        <f>'Balance Sheet'!D20-'Balance Sheet'!C20</f>
        <v>0.83999999999999986</v>
      </c>
      <c r="E42" s="4">
        <f>'Balance Sheet'!E20-'Balance Sheet'!D20</f>
        <v>0.51999999999999957</v>
      </c>
      <c r="F42" s="4">
        <f>'Balance Sheet'!F20-'Balance Sheet'!E20</f>
        <v>0</v>
      </c>
      <c r="G42" s="4">
        <f>'Balance Sheet'!G20-'Balance Sheet'!F20</f>
        <v>1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4">
        <f>'Income Statement'!D28</f>
        <v>269.45999999999998</v>
      </c>
      <c r="E44" s="4">
        <f>'Income Statement'!E28</f>
        <v>267</v>
      </c>
      <c r="F44" s="4">
        <f>'Income Statement'!F28</f>
        <v>222</v>
      </c>
      <c r="G44" s="4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53.41</v>
      </c>
      <c r="E45" s="4">
        <f>'Income Statement'!E29</f>
        <v>56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3778.04</v>
      </c>
      <c r="E46" s="5">
        <f>'Income Statement'!E20</f>
        <v>4197</v>
      </c>
      <c r="F46" s="5">
        <f>'Income Statement'!F20</f>
        <v>3738</v>
      </c>
      <c r="G46" s="5">
        <f>'Income Statement'!G20</f>
        <v>3768</v>
      </c>
    </row>
    <row r="47" spans="2:7" ht="18.75" x14ac:dyDescent="0.25">
      <c r="B47" s="9" t="s">
        <v>141</v>
      </c>
      <c r="C47" s="6"/>
      <c r="D47" s="7">
        <f>D37+D38+D39+D40+D41+D42-D44-D45-D46</f>
        <v>-2529.3900000000017</v>
      </c>
      <c r="E47" s="7">
        <f t="shared" ref="E47:G47" si="3">E37+E38+E39+E40+E41+E42-E44-E45-E46</f>
        <v>10536.32</v>
      </c>
      <c r="F47" s="7">
        <f t="shared" si="3"/>
        <v>-6220</v>
      </c>
      <c r="G47" s="7">
        <f t="shared" si="3"/>
        <v>-4408</v>
      </c>
    </row>
    <row r="48" spans="2:7" ht="18.75" x14ac:dyDescent="0.25">
      <c r="B48" s="9" t="s">
        <v>142</v>
      </c>
      <c r="C48" s="6"/>
      <c r="D48" s="7">
        <f>D27+D35+D47</f>
        <v>27544.119999999992</v>
      </c>
      <c r="E48" s="7">
        <f t="shared" ref="E48:G48" si="4">E27+E35+E47</f>
        <v>20295.690000000002</v>
      </c>
      <c r="F48" s="7">
        <f t="shared" si="4"/>
        <v>-8036</v>
      </c>
      <c r="G48" s="7">
        <f t="shared" si="4"/>
        <v>10823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71B86-51EE-4259-9CA2-FF704E6AC9A3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3597.3900000000249</v>
      </c>
      <c r="D6" s="16">
        <f>'Income Statement'!D27</f>
        <v>5318.520000000005</v>
      </c>
      <c r="E6" s="16">
        <f>'Income Statement'!E27</f>
        <v>3049</v>
      </c>
      <c r="F6" s="16">
        <f>'Income Statement'!F27</f>
        <v>3237</v>
      </c>
      <c r="G6" s="16">
        <f>'Income Statement'!G27</f>
        <v>6710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27</v>
      </c>
      <c r="D8" s="17">
        <f t="shared" ref="D8:G8" si="0">ROUND(D6/D7, 2)</f>
        <v>25</v>
      </c>
      <c r="E8" s="17">
        <f t="shared" si="0"/>
        <v>17</v>
      </c>
      <c r="F8" s="17">
        <f t="shared" si="0"/>
        <v>16</v>
      </c>
      <c r="G8" s="17">
        <f t="shared" si="0"/>
        <v>62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293.76</v>
      </c>
      <c r="D11" s="16">
        <f>'Income Statement'!D28</f>
        <v>269.45999999999998</v>
      </c>
      <c r="E11" s="16">
        <f>'Income Statement'!E28</f>
        <v>267</v>
      </c>
      <c r="F11" s="16">
        <f>'Income Statement'!F28</f>
        <v>222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133.23666666666759</v>
      </c>
      <c r="D12" s="16">
        <f>'Income Statement'!D35</f>
        <v>212.74080000000021</v>
      </c>
      <c r="E12" s="16">
        <f>'Income Statement'!E35</f>
        <v>179.35294117647058</v>
      </c>
      <c r="F12" s="16">
        <f>'Income Statement'!F35</f>
        <v>202.3125</v>
      </c>
      <c r="G12" s="16">
        <f>'Income Statement'!G35</f>
        <v>108.2258064516129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2.2000000000000002</v>
      </c>
      <c r="D13" s="17">
        <f t="shared" ref="D13:G13" si="1">ROUND(D11/D12, 2)</f>
        <v>1.27</v>
      </c>
      <c r="E13" s="17">
        <f t="shared" si="1"/>
        <v>1.49</v>
      </c>
      <c r="F13" s="17">
        <f t="shared" si="1"/>
        <v>1.1000000000000001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54847.83</v>
      </c>
      <c r="D16" s="16">
        <f>'Balance Sheet'!D9</f>
        <v>59842.98000000001</v>
      </c>
      <c r="E16" s="16">
        <f>'Balance Sheet'!E9</f>
        <v>62568.590000000011</v>
      </c>
      <c r="F16" s="16">
        <f>'Balance Sheet'!F9</f>
        <v>65583.590000000011</v>
      </c>
      <c r="G16" s="16">
        <f>'Balance Sheet'!G9</f>
        <v>72293.590000000011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133.23666666666759</v>
      </c>
      <c r="D17" s="16">
        <f>'Income Statement'!D35</f>
        <v>212.74080000000021</v>
      </c>
      <c r="E17" s="16">
        <f>'Income Statement'!E35</f>
        <v>179.35294117647058</v>
      </c>
      <c r="F17" s="16">
        <f>'Income Statement'!F35</f>
        <v>202.3125</v>
      </c>
      <c r="G17" s="16">
        <f>'Income Statement'!G35</f>
        <v>108.2258064516129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411.66</v>
      </c>
      <c r="D18" s="17">
        <f t="shared" ref="D18:G18" si="2">ROUND(D16/D17, 2)</f>
        <v>281.3</v>
      </c>
      <c r="E18" s="17">
        <f t="shared" si="2"/>
        <v>348.86</v>
      </c>
      <c r="F18" s="17">
        <f t="shared" si="2"/>
        <v>324.17</v>
      </c>
      <c r="G18" s="17">
        <f t="shared" si="2"/>
        <v>667.99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293.76</v>
      </c>
      <c r="D21" s="16">
        <f>'Income Statement'!D28</f>
        <v>269.45999999999998</v>
      </c>
      <c r="E21" s="16">
        <f>'Income Statement'!E28</f>
        <v>267</v>
      </c>
      <c r="F21" s="16">
        <f>'Income Statement'!F28</f>
        <v>222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133.23666666666759</v>
      </c>
      <c r="D22" s="16">
        <f>'Income Statement'!D35</f>
        <v>212.74080000000021</v>
      </c>
      <c r="E22" s="16">
        <f>'Income Statement'!E35</f>
        <v>179.35294117647058</v>
      </c>
      <c r="F22" s="16">
        <f>'Income Statement'!F35</f>
        <v>202.3125</v>
      </c>
      <c r="G22" s="16">
        <f>'Income Statement'!G35</f>
        <v>108.2258064516129</v>
      </c>
    </row>
    <row r="23" spans="2:12" ht="18.75" x14ac:dyDescent="0.25">
      <c r="B23" s="15" t="s">
        <v>148</v>
      </c>
      <c r="C23" s="16">
        <f>ROUND(C21/C22, 2)</f>
        <v>2.2000000000000002</v>
      </c>
      <c r="D23" s="16">
        <f t="shared" ref="D23:G23" si="3">ROUND(D21/D22, 2)</f>
        <v>1.27</v>
      </c>
      <c r="E23" s="16">
        <f t="shared" si="3"/>
        <v>1.49</v>
      </c>
      <c r="F23" s="16">
        <f t="shared" si="3"/>
        <v>1.1000000000000001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3597.3900000000249</v>
      </c>
      <c r="D24" s="16">
        <f>'Income Statement'!D27</f>
        <v>5318.520000000005</v>
      </c>
      <c r="E24" s="16">
        <f>'Income Statement'!E27</f>
        <v>3049</v>
      </c>
      <c r="F24" s="16">
        <f>'Income Statement'!F27</f>
        <v>3237</v>
      </c>
      <c r="G24" s="16">
        <f>'Income Statement'!G27</f>
        <v>6710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133.23666666666759</v>
      </c>
      <c r="D25" s="16">
        <f>'Income Statement'!D35</f>
        <v>212.74080000000021</v>
      </c>
      <c r="E25" s="16">
        <f>'Income Statement'!E35</f>
        <v>179.35294117647058</v>
      </c>
      <c r="F25" s="16">
        <f>'Income Statement'!F35</f>
        <v>202.3125</v>
      </c>
      <c r="G25" s="16">
        <f>'Income Statement'!G35</f>
        <v>108.2258064516129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27</v>
      </c>
      <c r="D26" s="16">
        <f t="shared" ref="D26:G26" si="4">D24/D25</f>
        <v>25</v>
      </c>
      <c r="E26" s="16">
        <f t="shared" si="4"/>
        <v>17</v>
      </c>
      <c r="F26" s="16">
        <f t="shared" si="4"/>
        <v>16</v>
      </c>
      <c r="G26" s="16">
        <f t="shared" si="4"/>
        <v>62.000000000000007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0.08</v>
      </c>
      <c r="D27" s="17">
        <f t="shared" ref="D27:G27" si="5">ROUND(D23/D26, 2)</f>
        <v>0.05</v>
      </c>
      <c r="E27" s="17">
        <f t="shared" si="5"/>
        <v>0.09</v>
      </c>
      <c r="F27" s="17">
        <f t="shared" si="5"/>
        <v>7.0000000000000007E-2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293.76</v>
      </c>
      <c r="D30" s="16">
        <f>'Income Statement'!D28</f>
        <v>269.45999999999998</v>
      </c>
      <c r="E30" s="16">
        <f>'Income Statement'!E28</f>
        <v>267</v>
      </c>
      <c r="F30" s="16">
        <f>'Income Statement'!F28</f>
        <v>222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133.23666666666759</v>
      </c>
      <c r="D31" s="16">
        <f>'Income Statement'!D35</f>
        <v>212.74080000000021</v>
      </c>
      <c r="E31" s="16">
        <f>'Income Statement'!E35</f>
        <v>179.35294117647058</v>
      </c>
      <c r="F31" s="16">
        <f>'Income Statement'!F35</f>
        <v>202.3125</v>
      </c>
      <c r="G31" s="16">
        <f>'Income Statement'!G35</f>
        <v>108.2258064516129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2.2000000000000002</v>
      </c>
      <c r="D32" s="16">
        <f t="shared" ref="D32:G32" si="6">ROUND(D30/D31, 2)</f>
        <v>1.27</v>
      </c>
      <c r="E32" s="16">
        <f t="shared" si="6"/>
        <v>1.49</v>
      </c>
      <c r="F32" s="16">
        <f t="shared" si="6"/>
        <v>1.1000000000000001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-1.2000000000000002</v>
      </c>
      <c r="D33" s="27">
        <f t="shared" ref="D33:G33" si="7">1-D32</f>
        <v>-0.27</v>
      </c>
      <c r="E33" s="27">
        <f t="shared" si="7"/>
        <v>-0.49</v>
      </c>
      <c r="F33" s="27">
        <f t="shared" si="7"/>
        <v>-0.10000000000000009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115195.63</v>
      </c>
      <c r="D36" s="16">
        <f>'Income Statement'!D5</f>
        <v>129745.57</v>
      </c>
      <c r="E36" s="16">
        <f>'Income Statement'!E5</f>
        <v>117140</v>
      </c>
      <c r="F36" s="16">
        <f>'Income Statement'!F5</f>
        <v>131009</v>
      </c>
      <c r="G36" s="16">
        <f>'Income Statement'!G5</f>
        <v>195059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79486.399999999994</v>
      </c>
      <c r="D37" s="16">
        <f>'Income Statement'!D11</f>
        <v>87686.82</v>
      </c>
      <c r="E37" s="16">
        <f>'Income Statement'!E11</f>
        <v>77727</v>
      </c>
      <c r="F37" s="16">
        <f>'Income Statement'!F11</f>
        <v>86276</v>
      </c>
      <c r="G37" s="16">
        <f>'Income Statement'!G11</f>
        <v>125335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35709.230000000003</v>
      </c>
      <c r="D38" s="28">
        <f t="shared" ref="D38:G38" si="8">ROUND(D36- D37, 2)</f>
        <v>42058.75</v>
      </c>
      <c r="E38" s="28">
        <f t="shared" si="8"/>
        <v>39413</v>
      </c>
      <c r="F38" s="28">
        <f t="shared" si="8"/>
        <v>44733</v>
      </c>
      <c r="G38" s="28">
        <f t="shared" si="8"/>
        <v>69724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115195.63</v>
      </c>
      <c r="D41" s="16">
        <f>'Income Statement'!D5</f>
        <v>129745.57</v>
      </c>
      <c r="E41" s="16">
        <f>'Income Statement'!E5</f>
        <v>117140</v>
      </c>
      <c r="F41" s="16">
        <f>'Income Statement'!F5</f>
        <v>131009</v>
      </c>
      <c r="G41" s="16">
        <f>'Income Statement'!G5</f>
        <v>195059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103348.93</v>
      </c>
      <c r="D42" s="16">
        <f>'Income Statement'!D15</f>
        <v>114411.05</v>
      </c>
      <c r="E42" s="16">
        <f>'Income Statement'!E15</f>
        <v>103548</v>
      </c>
      <c r="F42" s="16">
        <f>'Income Statement'!F15</f>
        <v>115413</v>
      </c>
      <c r="G42" s="16">
        <f>'Income Statement'!G15</f>
        <v>174197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11846.7</v>
      </c>
      <c r="D43" s="28">
        <f t="shared" ref="D43:G43" si="9">ROUND(D41- D42, 2)</f>
        <v>15334.52</v>
      </c>
      <c r="E43" s="28">
        <f t="shared" si="9"/>
        <v>13592</v>
      </c>
      <c r="F43" s="28">
        <f t="shared" si="9"/>
        <v>15596</v>
      </c>
      <c r="G43" s="28">
        <f t="shared" si="9"/>
        <v>20862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3597.3900000000249</v>
      </c>
      <c r="D46" s="16">
        <f>'Income Statement'!D27</f>
        <v>5318.520000000005</v>
      </c>
      <c r="E46" s="16">
        <f>'Income Statement'!E27</f>
        <v>3049</v>
      </c>
      <c r="F46" s="16">
        <f>'Income Statement'!F27</f>
        <v>3237</v>
      </c>
      <c r="G46" s="16">
        <f>'Income Statement'!G27</f>
        <v>6710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147823.32999999999</v>
      </c>
      <c r="D47" s="16">
        <f>'Balance Sheet'!D40</f>
        <v>154972.94</v>
      </c>
      <c r="E47" s="16">
        <f>'Balance Sheet'!E40</f>
        <v>173779.59</v>
      </c>
      <c r="F47" s="16">
        <f>'Balance Sheet'!F40</f>
        <v>188749.59</v>
      </c>
      <c r="G47" s="16">
        <f>'Balance Sheet'!G40</f>
        <v>217164.59000000003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0.02</v>
      </c>
      <c r="D48" s="27">
        <f t="shared" ref="D48:G48" si="10">ROUND(D46/ D47, 2)</f>
        <v>0.03</v>
      </c>
      <c r="E48" s="27">
        <f t="shared" si="10"/>
        <v>0.02</v>
      </c>
      <c r="F48" s="27">
        <f t="shared" si="10"/>
        <v>0.02</v>
      </c>
      <c r="G48" s="27">
        <f t="shared" si="10"/>
        <v>0.03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7808.1300000000247</v>
      </c>
      <c r="D51" s="16">
        <f>'Income Statement'!D19</f>
        <v>11684.650000000005</v>
      </c>
      <c r="E51" s="16">
        <f>'Income Statement'!E19</f>
        <v>9687</v>
      </c>
      <c r="F51" s="16">
        <f>'Income Statement'!F19</f>
        <v>10190</v>
      </c>
      <c r="G51" s="16">
        <f>'Income Statement'!G19</f>
        <v>15269</v>
      </c>
    </row>
    <row r="52" spans="2:12" ht="19.5" thickTop="1" x14ac:dyDescent="0.25">
      <c r="B52" s="15" t="str">
        <f>'Balance Sheet'!B13</f>
        <v>Total Debt</v>
      </c>
      <c r="C52" s="16">
        <f>'Balance Sheet'!C13</f>
        <v>55139.630000000005</v>
      </c>
      <c r="D52" s="16">
        <f>'Balance Sheet'!D13</f>
        <v>56710.81</v>
      </c>
      <c r="E52" s="16">
        <f>'Balance Sheet'!E13</f>
        <v>71767</v>
      </c>
      <c r="F52" s="16">
        <f>'Balance Sheet'!F13</f>
        <v>69507</v>
      </c>
      <c r="G52" s="16">
        <f>'Balance Sheet'!G13</f>
        <v>68866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54847.83</v>
      </c>
      <c r="D53" s="16">
        <f>'Balance Sheet'!D9</f>
        <v>59842.98000000001</v>
      </c>
      <c r="E53" s="16">
        <f>'Balance Sheet'!E9</f>
        <v>62568.590000000011</v>
      </c>
      <c r="F53" s="16">
        <f>'Balance Sheet'!F9</f>
        <v>65583.590000000011</v>
      </c>
      <c r="G53" s="16">
        <f>'Balance Sheet'!G9</f>
        <v>72293.590000000011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7.0000000000000007E-2</v>
      </c>
      <c r="D54" s="27">
        <f t="shared" ref="D54:G54" si="11">ROUND(D51/ (D52+ D52), 2)</f>
        <v>0.1</v>
      </c>
      <c r="E54" s="27">
        <f t="shared" si="11"/>
        <v>7.0000000000000007E-2</v>
      </c>
      <c r="F54" s="27">
        <f t="shared" si="11"/>
        <v>7.0000000000000007E-2</v>
      </c>
      <c r="G54" s="27">
        <f t="shared" si="11"/>
        <v>0.11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3597.3900000000249</v>
      </c>
      <c r="D57" s="16">
        <f>'Income Statement'!D27</f>
        <v>5318.520000000005</v>
      </c>
      <c r="E57" s="16">
        <f>'Income Statement'!E27</f>
        <v>3049</v>
      </c>
      <c r="F57" s="16">
        <f>'Income Statement'!F27</f>
        <v>3237</v>
      </c>
      <c r="G57" s="16">
        <f>'Income Statement'!G27</f>
        <v>6710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54847.83</v>
      </c>
      <c r="D58" s="16">
        <f>'Balance Sheet'!D9</f>
        <v>59842.98000000001</v>
      </c>
      <c r="E58" s="16">
        <f>'Balance Sheet'!E9</f>
        <v>62568.590000000011</v>
      </c>
      <c r="F58" s="16">
        <f>'Balance Sheet'!F9</f>
        <v>65583.590000000011</v>
      </c>
      <c r="G58" s="16">
        <f>'Balance Sheet'!G9</f>
        <v>72293.590000000011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0.03</v>
      </c>
      <c r="D59" s="27">
        <f t="shared" ref="D59:G59" si="12">ROUND(D57/ (D58+ D58), 2)</f>
        <v>0.04</v>
      </c>
      <c r="E59" s="27">
        <f t="shared" si="12"/>
        <v>0.02</v>
      </c>
      <c r="F59" s="27">
        <f t="shared" si="12"/>
        <v>0.02</v>
      </c>
      <c r="G59" s="27">
        <f t="shared" si="12"/>
        <v>0.05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55139.630000000005</v>
      </c>
      <c r="D62" s="16">
        <f>'Balance Sheet'!D13</f>
        <v>56710.81</v>
      </c>
      <c r="E62" s="16">
        <f>'Balance Sheet'!E13</f>
        <v>71767</v>
      </c>
      <c r="F62" s="16">
        <f>'Balance Sheet'!F13</f>
        <v>69507</v>
      </c>
      <c r="G62" s="16">
        <f>'Balance Sheet'!G13</f>
        <v>68866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54847.83</v>
      </c>
      <c r="D63" s="16">
        <f>'Balance Sheet'!D9</f>
        <v>59842.98000000001</v>
      </c>
      <c r="E63" s="16">
        <f>'Balance Sheet'!E9</f>
        <v>62568.590000000011</v>
      </c>
      <c r="F63" s="16">
        <f>'Balance Sheet'!F9</f>
        <v>65583.590000000011</v>
      </c>
      <c r="G63" s="16">
        <f>'Balance Sheet'!G9</f>
        <v>72293.590000000011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1.01</v>
      </c>
      <c r="D64" s="17">
        <f t="shared" ref="D64:G64" si="13">ROUND(D62/ D63, 2)</f>
        <v>0.95</v>
      </c>
      <c r="E64" s="17">
        <f t="shared" si="13"/>
        <v>1.1499999999999999</v>
      </c>
      <c r="F64" s="17">
        <f t="shared" si="13"/>
        <v>1.06</v>
      </c>
      <c r="G64" s="17">
        <f t="shared" si="13"/>
        <v>0.95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49894.59</v>
      </c>
      <c r="D67" s="16">
        <f>'Balance Sheet'!D39</f>
        <v>79478.669999999984</v>
      </c>
      <c r="E67" s="16">
        <f>'Balance Sheet'!E39</f>
        <v>97529.569999999992</v>
      </c>
      <c r="F67" s="16">
        <f>'Balance Sheet'!F39</f>
        <v>101147.56999999999</v>
      </c>
      <c r="G67" s="16">
        <f>'Balance Sheet'!G39</f>
        <v>138416.57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37827.229999999996</v>
      </c>
      <c r="D68" s="16">
        <f>'Balance Sheet'!D19</f>
        <v>38409.67</v>
      </c>
      <c r="E68" s="16">
        <f>'Balance Sheet'!E19</f>
        <v>39434</v>
      </c>
      <c r="F68" s="16">
        <f>'Balance Sheet'!F19</f>
        <v>53649</v>
      </c>
      <c r="G68" s="16">
        <f>'Balance Sheet'!G19</f>
        <v>75994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1.32</v>
      </c>
      <c r="D69" s="17">
        <f t="shared" ref="D69:G69" si="14">ROUND(D67/ D68, 2)</f>
        <v>2.0699999999999998</v>
      </c>
      <c r="E69" s="17">
        <f t="shared" si="14"/>
        <v>2.4700000000000002</v>
      </c>
      <c r="F69" s="17">
        <f t="shared" si="14"/>
        <v>1.89</v>
      </c>
      <c r="G69" s="17">
        <f t="shared" si="14"/>
        <v>1.82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49894.59</v>
      </c>
      <c r="D72" s="16">
        <f>'Balance Sheet'!D39</f>
        <v>79478.669999999984</v>
      </c>
      <c r="E72" s="16">
        <f>'Balance Sheet'!E39</f>
        <v>97529.569999999992</v>
      </c>
      <c r="F72" s="16">
        <f>'Balance Sheet'!F39</f>
        <v>101147.56999999999</v>
      </c>
      <c r="G72" s="16">
        <f>'Balance Sheet'!G39</f>
        <v>138416.57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21631.39</v>
      </c>
      <c r="D73" s="16">
        <f>'Balance Sheet'!D36</f>
        <v>22193.79</v>
      </c>
      <c r="E73" s="16">
        <f>'Balance Sheet'!E36</f>
        <v>22384</v>
      </c>
      <c r="F73" s="16">
        <f>'Balance Sheet'!F36</f>
        <v>30668</v>
      </c>
      <c r="G73" s="16">
        <f>'Balance Sheet'!G36</f>
        <v>44483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37827.229999999996</v>
      </c>
      <c r="D74" s="16">
        <f>'Balance Sheet'!D19</f>
        <v>38409.67</v>
      </c>
      <c r="E74" s="16">
        <f>'Balance Sheet'!E19</f>
        <v>39434</v>
      </c>
      <c r="F74" s="16">
        <f>'Balance Sheet'!F19</f>
        <v>53649</v>
      </c>
      <c r="G74" s="16">
        <f>'Balance Sheet'!G19</f>
        <v>75994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0.75</v>
      </c>
      <c r="D75" s="17">
        <f t="shared" ref="D75:G75" si="15">ROUND((D72-D73)/ D74, 2)</f>
        <v>1.49</v>
      </c>
      <c r="E75" s="17">
        <f t="shared" si="15"/>
        <v>1.91</v>
      </c>
      <c r="F75" s="17">
        <f t="shared" si="15"/>
        <v>1.31</v>
      </c>
      <c r="G75" s="17">
        <f t="shared" si="15"/>
        <v>1.24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7808.1300000000247</v>
      </c>
      <c r="D78" s="16">
        <f>'Income Statement'!D19</f>
        <v>11684.650000000005</v>
      </c>
      <c r="E78" s="16">
        <f>'Income Statement'!E19</f>
        <v>9687</v>
      </c>
      <c r="F78" s="16">
        <f>'Income Statement'!F19</f>
        <v>10190</v>
      </c>
      <c r="G78" s="16">
        <f>'Income Statement'!G19</f>
        <v>15269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3910.73</v>
      </c>
      <c r="D79" s="16">
        <f>'Income Statement'!D20</f>
        <v>3778.04</v>
      </c>
      <c r="E79" s="16">
        <f>'Income Statement'!E20</f>
        <v>4197</v>
      </c>
      <c r="F79" s="16">
        <f>'Income Statement'!F20</f>
        <v>3738</v>
      </c>
      <c r="G79" s="16">
        <f>'Income Statement'!G20</f>
        <v>3768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2</v>
      </c>
      <c r="D80" s="17">
        <f t="shared" ref="D80:G80" si="16">ROUND(D78/D79, 2)</f>
        <v>3.09</v>
      </c>
      <c r="E80" s="17">
        <f t="shared" si="16"/>
        <v>2.31</v>
      </c>
      <c r="F80" s="17">
        <f t="shared" si="16"/>
        <v>2.73</v>
      </c>
      <c r="G80" s="17">
        <f t="shared" si="16"/>
        <v>4.05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79486.399999999994</v>
      </c>
      <c r="D83" s="16">
        <f>'Income Statement'!D11</f>
        <v>87686.82</v>
      </c>
      <c r="E83" s="16">
        <f>'Income Statement'!E11</f>
        <v>77727</v>
      </c>
      <c r="F83" s="16">
        <f>'Income Statement'!F11</f>
        <v>86276</v>
      </c>
      <c r="G83" s="16">
        <f>'Income Statement'!G11</f>
        <v>125335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114558.73000000001</v>
      </c>
      <c r="D84" s="16">
        <f>'Income Statement'!D7</f>
        <v>129745.57</v>
      </c>
      <c r="E84" s="16">
        <f>'Income Statement'!E7</f>
        <v>117140</v>
      </c>
      <c r="F84" s="16">
        <f>'Income Statement'!F7</f>
        <v>131009</v>
      </c>
      <c r="G84" s="16">
        <f>'Income Statement'!G7</f>
        <v>195059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0.69</v>
      </c>
      <c r="D85" s="17">
        <f t="shared" ref="D85:G85" si="17">ROUND(D83/D84, 2)</f>
        <v>0.68</v>
      </c>
      <c r="E85" s="17">
        <f t="shared" si="17"/>
        <v>0.66</v>
      </c>
      <c r="F85" s="17">
        <f t="shared" si="17"/>
        <v>0.66</v>
      </c>
      <c r="G85" s="17">
        <f t="shared" si="17"/>
        <v>0.64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8057.76</v>
      </c>
      <c r="D88" s="16">
        <f>'Balance Sheet'!D38</f>
        <v>35601.87999999999</v>
      </c>
      <c r="E88" s="16">
        <f>'Balance Sheet'!E38</f>
        <v>55897.569999999992</v>
      </c>
      <c r="F88" s="16">
        <f>'Balance Sheet'!F38</f>
        <v>47861.569999999992</v>
      </c>
      <c r="G88" s="16">
        <f>'Balance Sheet'!G38</f>
        <v>58684.569999999992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79486.399999999994</v>
      </c>
      <c r="D89" s="16">
        <f>'Income Statement'!D11</f>
        <v>87686.82</v>
      </c>
      <c r="E89" s="16">
        <f>'Income Statement'!E11</f>
        <v>77727</v>
      </c>
      <c r="F89" s="16">
        <f>'Income Statement'!F11</f>
        <v>86276</v>
      </c>
      <c r="G89" s="16">
        <f>'Income Statement'!G11</f>
        <v>125335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>
        <f>ROUND(C88/C89*365, 2)</f>
        <v>37</v>
      </c>
      <c r="D90" s="17">
        <f t="shared" ref="D90:G90" si="18">ROUND(D88/D89*365, 2)</f>
        <v>148.19</v>
      </c>
      <c r="E90" s="17">
        <f t="shared" si="18"/>
        <v>262.49</v>
      </c>
      <c r="F90" s="17">
        <f t="shared" si="18"/>
        <v>202.48</v>
      </c>
      <c r="G90" s="17">
        <f t="shared" si="18"/>
        <v>170.9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8057.76</v>
      </c>
      <c r="D93" s="16">
        <f>'Balance Sheet'!D38</f>
        <v>35601.87999999999</v>
      </c>
      <c r="E93" s="16">
        <f>'Balance Sheet'!E38</f>
        <v>55897.569999999992</v>
      </c>
      <c r="F93" s="16">
        <f>'Balance Sheet'!F38</f>
        <v>47861.569999999992</v>
      </c>
      <c r="G93" s="16">
        <f>'Balance Sheet'!G38</f>
        <v>58684.569999999992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8057.76</v>
      </c>
      <c r="D95" s="17">
        <f t="shared" ref="D95:G95" si="19">ROUND(D93/D94*365, 2)</f>
        <v>35601.879999999997</v>
      </c>
      <c r="E95" s="17">
        <f t="shared" si="19"/>
        <v>55897.57</v>
      </c>
      <c r="F95" s="17">
        <f t="shared" si="19"/>
        <v>47861.57</v>
      </c>
      <c r="G95" s="17">
        <f t="shared" si="19"/>
        <v>58684.57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115195.63</v>
      </c>
      <c r="D98" s="16">
        <f>'Income Statement'!D5</f>
        <v>129745.57</v>
      </c>
      <c r="E98" s="16">
        <f>'Income Statement'!E5</f>
        <v>117140</v>
      </c>
      <c r="F98" s="16">
        <f>'Income Statement'!F5</f>
        <v>131009</v>
      </c>
      <c r="G98" s="16">
        <f>'Income Statement'!G5</f>
        <v>195059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147823.32999999999</v>
      </c>
      <c r="D99" s="16">
        <f>'Balance Sheet'!D40</f>
        <v>154972.94</v>
      </c>
      <c r="E99" s="16">
        <f>'Balance Sheet'!E40</f>
        <v>173779.59</v>
      </c>
      <c r="F99" s="16">
        <f>'Balance Sheet'!F40</f>
        <v>188749.59</v>
      </c>
      <c r="G99" s="16">
        <f>'Balance Sheet'!G40</f>
        <v>217164.59000000003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0.78</v>
      </c>
      <c r="D100" s="17">
        <f t="shared" ref="D100:G100" si="20">ROUND(D98/D99, 2)</f>
        <v>0.84</v>
      </c>
      <c r="E100" s="17">
        <f t="shared" si="20"/>
        <v>0.67</v>
      </c>
      <c r="F100" s="17">
        <f t="shared" si="20"/>
        <v>0.69</v>
      </c>
      <c r="G100" s="17">
        <f t="shared" si="20"/>
        <v>0.9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115195.63</v>
      </c>
      <c r="D103" s="16">
        <f>'Income Statement'!D5</f>
        <v>129745.57</v>
      </c>
      <c r="E103" s="16">
        <f>'Income Statement'!E5</f>
        <v>117140</v>
      </c>
      <c r="F103" s="16">
        <f>'Income Statement'!F5</f>
        <v>131009</v>
      </c>
      <c r="G103" s="16">
        <f>'Income Statement'!G5</f>
        <v>195059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21631.39</v>
      </c>
      <c r="D104" s="16">
        <f>'Balance Sheet'!D36</f>
        <v>22193.79</v>
      </c>
      <c r="E104" s="16">
        <f>'Balance Sheet'!E36</f>
        <v>22384</v>
      </c>
      <c r="F104" s="16">
        <f>'Balance Sheet'!F36</f>
        <v>30668</v>
      </c>
      <c r="G104" s="16">
        <f>'Balance Sheet'!G36</f>
        <v>44483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5.33</v>
      </c>
      <c r="D105" s="17">
        <f t="shared" ref="D105:G105" si="21">ROUND(D103/D104, 2)</f>
        <v>5.85</v>
      </c>
      <c r="E105" s="17">
        <f t="shared" si="21"/>
        <v>5.23</v>
      </c>
      <c r="F105" s="17">
        <f t="shared" si="21"/>
        <v>4.2699999999999996</v>
      </c>
      <c r="G105" s="17">
        <f t="shared" si="21"/>
        <v>4.3899999999999997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115195.63</v>
      </c>
      <c r="D108" s="16">
        <f>'Income Statement'!D5</f>
        <v>129745.57</v>
      </c>
      <c r="E108" s="16">
        <f>'Income Statement'!E5</f>
        <v>117140</v>
      </c>
      <c r="F108" s="16">
        <f>'Income Statement'!F5</f>
        <v>131009</v>
      </c>
      <c r="G108" s="16">
        <f>'Income Statement'!G5</f>
        <v>195059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9959.81</v>
      </c>
      <c r="D109" s="16">
        <f>'Balance Sheet'!D37</f>
        <v>11459.76</v>
      </c>
      <c r="E109" s="16">
        <f>'Balance Sheet'!E37</f>
        <v>9345</v>
      </c>
      <c r="F109" s="16">
        <f>'Balance Sheet'!F37</f>
        <v>12959</v>
      </c>
      <c r="G109" s="16">
        <f>'Balance Sheet'!G37</f>
        <v>21076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11.57</v>
      </c>
      <c r="D110" s="17">
        <f t="shared" ref="D110:G110" si="22">ROUND(D108/D109, 2)</f>
        <v>11.32</v>
      </c>
      <c r="E110" s="17">
        <f t="shared" si="22"/>
        <v>12.54</v>
      </c>
      <c r="F110" s="17">
        <f t="shared" si="22"/>
        <v>10.11</v>
      </c>
      <c r="G110" s="17">
        <f t="shared" si="22"/>
        <v>9.26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115195.63</v>
      </c>
      <c r="D113" s="16">
        <f>'Income Statement'!D5</f>
        <v>129745.57</v>
      </c>
      <c r="E113" s="16">
        <f>'Income Statement'!E5</f>
        <v>117140</v>
      </c>
      <c r="F113" s="16">
        <f>'Income Statement'!F5</f>
        <v>131009</v>
      </c>
      <c r="G113" s="16">
        <f>'Income Statement'!G5</f>
        <v>195059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63910.31</v>
      </c>
      <c r="D114" s="16">
        <f>'Balance Sheet'!D23</f>
        <v>64208.08</v>
      </c>
      <c r="E114" s="16">
        <f>'Balance Sheet'!E23</f>
        <v>66089</v>
      </c>
      <c r="F114" s="16">
        <f>'Balance Sheet'!F23</f>
        <v>70870</v>
      </c>
      <c r="G114" s="16">
        <f>'Balance Sheet'!G23</f>
        <v>87854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1.8</v>
      </c>
      <c r="D115" s="17">
        <f t="shared" ref="D115:G115" si="23">ROUND(D113/D114, 2)</f>
        <v>2.02</v>
      </c>
      <c r="E115" s="17">
        <f t="shared" si="23"/>
        <v>1.77</v>
      </c>
      <c r="F115" s="17">
        <f t="shared" si="23"/>
        <v>1.85</v>
      </c>
      <c r="G115" s="17">
        <f t="shared" si="23"/>
        <v>2.2200000000000002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79486.399999999994</v>
      </c>
      <c r="D118" s="16">
        <f>'Income Statement'!D11</f>
        <v>87686.82</v>
      </c>
      <c r="E118" s="16">
        <f>'Income Statement'!E11</f>
        <v>77727</v>
      </c>
      <c r="F118" s="16">
        <f>'Income Statement'!F11</f>
        <v>86276</v>
      </c>
      <c r="G118" s="16">
        <f>'Income Statement'!G11</f>
        <v>125335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37827.229999999996</v>
      </c>
      <c r="D119" s="16">
        <f>'Balance Sheet'!D19</f>
        <v>38409.67</v>
      </c>
      <c r="E119" s="16">
        <f>'Balance Sheet'!E19</f>
        <v>39434</v>
      </c>
      <c r="F119" s="16">
        <f>'Balance Sheet'!F19</f>
        <v>53649</v>
      </c>
      <c r="G119" s="16">
        <f>'Balance Sheet'!G19</f>
        <v>75994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2.1</v>
      </c>
      <c r="D120" s="17">
        <f t="shared" ref="D120:G120" si="24">ROUND(D118/D119, 2)</f>
        <v>2.2799999999999998</v>
      </c>
      <c r="E120" s="17">
        <f t="shared" si="24"/>
        <v>1.97</v>
      </c>
      <c r="F120" s="17">
        <f t="shared" si="24"/>
        <v>1.61</v>
      </c>
      <c r="G120" s="17">
        <f t="shared" si="24"/>
        <v>1.65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115195.63</v>
      </c>
      <c r="D123" s="16">
        <f>'Income Statement'!D5</f>
        <v>129745.57</v>
      </c>
      <c r="E123" s="16">
        <f>'Income Statement'!E5</f>
        <v>117140</v>
      </c>
      <c r="F123" s="16">
        <f>'Income Statement'!F5</f>
        <v>131009</v>
      </c>
      <c r="G123" s="16">
        <f>'Income Statement'!G5</f>
        <v>195059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21631.39</v>
      </c>
      <c r="D124" s="16">
        <f>'Balance Sheet'!D36</f>
        <v>22193.79</v>
      </c>
      <c r="E124" s="16">
        <f>'Balance Sheet'!E36</f>
        <v>22384</v>
      </c>
      <c r="F124" s="16">
        <f>'Balance Sheet'!F36</f>
        <v>30668</v>
      </c>
      <c r="G124" s="16">
        <f>'Balance Sheet'!G36</f>
        <v>44483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68.540000000000006</v>
      </c>
      <c r="D125" s="17">
        <f t="shared" ref="D125:G125" si="25">ROUND(365/D123*D124, 2)</f>
        <v>62.44</v>
      </c>
      <c r="E125" s="17">
        <f t="shared" si="25"/>
        <v>69.75</v>
      </c>
      <c r="F125" s="17">
        <f t="shared" si="25"/>
        <v>85.44</v>
      </c>
      <c r="G125" s="17">
        <f t="shared" si="25"/>
        <v>83.24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79486.399999999994</v>
      </c>
      <c r="D128" s="16">
        <f>'Income Statement'!D11</f>
        <v>87686.82</v>
      </c>
      <c r="E128" s="16">
        <f>'Income Statement'!E11</f>
        <v>77727</v>
      </c>
      <c r="F128" s="16">
        <f>'Income Statement'!F11</f>
        <v>86276</v>
      </c>
      <c r="G128" s="16">
        <f>'Income Statement'!G11</f>
        <v>125335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37827.229999999996</v>
      </c>
      <c r="D129" s="16">
        <f>'Balance Sheet'!D19</f>
        <v>38409.67</v>
      </c>
      <c r="E129" s="16">
        <f>'Balance Sheet'!E19</f>
        <v>39434</v>
      </c>
      <c r="F129" s="16">
        <f>'Balance Sheet'!F19</f>
        <v>53649</v>
      </c>
      <c r="G129" s="16">
        <f>'Balance Sheet'!G19</f>
        <v>75994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>
        <f>ROUND(365/C128*C129, 2)</f>
        <v>173.7</v>
      </c>
      <c r="D130" s="17">
        <f t="shared" ref="D130:G130" si="26">ROUND(365/D128*D129, 2)</f>
        <v>159.88</v>
      </c>
      <c r="E130" s="17">
        <f t="shared" si="26"/>
        <v>185.18</v>
      </c>
      <c r="F130" s="17">
        <f t="shared" si="26"/>
        <v>226.97</v>
      </c>
      <c r="G130" s="17">
        <f t="shared" si="26"/>
        <v>221.31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115195.63</v>
      </c>
      <c r="D133" s="16">
        <f>'Income Statement'!D5</f>
        <v>129745.57</v>
      </c>
      <c r="E133" s="16">
        <f>'Income Statement'!E5</f>
        <v>117140</v>
      </c>
      <c r="F133" s="16">
        <f>'Income Statement'!F5</f>
        <v>131009</v>
      </c>
      <c r="G133" s="16">
        <f>'Income Statement'!G5</f>
        <v>195059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9959.81</v>
      </c>
      <c r="D134" s="16">
        <f>'Balance Sheet'!D37</f>
        <v>11459.76</v>
      </c>
      <c r="E134" s="16">
        <f>'Balance Sheet'!E37</f>
        <v>9345</v>
      </c>
      <c r="F134" s="16">
        <f>'Balance Sheet'!F37</f>
        <v>12959</v>
      </c>
      <c r="G134" s="16">
        <f>'Balance Sheet'!G37</f>
        <v>21076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31.56</v>
      </c>
      <c r="D135" s="17">
        <f t="shared" ref="D135:G135" si="27">ROUND(365/D133*D134, 2)</f>
        <v>32.24</v>
      </c>
      <c r="E135" s="17">
        <f t="shared" si="27"/>
        <v>29.12</v>
      </c>
      <c r="F135" s="17">
        <f t="shared" si="27"/>
        <v>36.1</v>
      </c>
      <c r="G135" s="17">
        <f t="shared" si="27"/>
        <v>39.44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115195.63</v>
      </c>
      <c r="D138" s="16">
        <f>'Income Statement'!D5</f>
        <v>129745.57</v>
      </c>
      <c r="E138" s="16">
        <f>'Income Statement'!E5</f>
        <v>117140</v>
      </c>
      <c r="F138" s="16">
        <f>'Income Statement'!F5</f>
        <v>131009</v>
      </c>
      <c r="G138" s="16">
        <f>'Income Statement'!G5</f>
        <v>195059</v>
      </c>
    </row>
    <row r="139" spans="2:12" ht="18.75" x14ac:dyDescent="0.25">
      <c r="B139" s="15" t="str">
        <f>'Balance Sheet'!B36</f>
        <v>Inventories</v>
      </c>
      <c r="C139" s="16">
        <f>'Balance Sheet'!C36</f>
        <v>21631.39</v>
      </c>
      <c r="D139" s="16">
        <f>'Balance Sheet'!D36</f>
        <v>22193.79</v>
      </c>
      <c r="E139" s="16">
        <f>'Balance Sheet'!E36</f>
        <v>22384</v>
      </c>
      <c r="F139" s="16">
        <f>'Balance Sheet'!F36</f>
        <v>30668</v>
      </c>
      <c r="G139" s="16">
        <f>'Balance Sheet'!G36</f>
        <v>44483</v>
      </c>
    </row>
    <row r="140" spans="2:12" ht="18.75" x14ac:dyDescent="0.25">
      <c r="B140" s="15" t="s">
        <v>192</v>
      </c>
      <c r="C140" s="16">
        <f>ROUND(365/C138*C139, 2)</f>
        <v>68.540000000000006</v>
      </c>
      <c r="D140" s="16">
        <f t="shared" ref="D140:G140" si="28">ROUND(365/D138*D139, 2)</f>
        <v>62.44</v>
      </c>
      <c r="E140" s="16">
        <f t="shared" si="28"/>
        <v>69.75</v>
      </c>
      <c r="F140" s="16">
        <f t="shared" si="28"/>
        <v>85.44</v>
      </c>
      <c r="G140" s="16">
        <f t="shared" si="28"/>
        <v>83.24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79486.399999999994</v>
      </c>
      <c r="D141" s="16">
        <f>'Income Statement'!D11</f>
        <v>87686.82</v>
      </c>
      <c r="E141" s="16">
        <f>'Income Statement'!E11</f>
        <v>77727</v>
      </c>
      <c r="F141" s="16">
        <f>'Income Statement'!F11</f>
        <v>86276</v>
      </c>
      <c r="G141" s="16">
        <f>'Income Statement'!G11</f>
        <v>125335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37827.229999999996</v>
      </c>
      <c r="D142" s="16">
        <f>'Balance Sheet'!D19</f>
        <v>38409.67</v>
      </c>
      <c r="E142" s="16">
        <f>'Balance Sheet'!E19</f>
        <v>39434</v>
      </c>
      <c r="F142" s="16">
        <f>'Balance Sheet'!F19</f>
        <v>53649</v>
      </c>
      <c r="G142" s="16">
        <f>'Balance Sheet'!G19</f>
        <v>75994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>
        <f>ROUND(365/C141*C142, 2)</f>
        <v>173.7</v>
      </c>
      <c r="D143" s="16">
        <f t="shared" ref="D143:G143" si="29">ROUND(365/D141*D142, 2)</f>
        <v>159.88</v>
      </c>
      <c r="E143" s="16">
        <f t="shared" si="29"/>
        <v>185.18</v>
      </c>
      <c r="F143" s="16">
        <f t="shared" si="29"/>
        <v>226.97</v>
      </c>
      <c r="G143" s="16">
        <f t="shared" si="29"/>
        <v>221.31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>
        <f>ROUND(C143+C140, 2)</f>
        <v>242.24</v>
      </c>
      <c r="D144" s="28">
        <f t="shared" ref="D144:G144" si="30">ROUND(D143+D140, 2)</f>
        <v>222.32</v>
      </c>
      <c r="E144" s="28">
        <f t="shared" si="30"/>
        <v>254.93</v>
      </c>
      <c r="F144" s="28">
        <f t="shared" si="30"/>
        <v>312.41000000000003</v>
      </c>
      <c r="G144" s="28">
        <f t="shared" si="30"/>
        <v>304.55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115195.63</v>
      </c>
      <c r="D147" s="16">
        <f>'Income Statement'!D5</f>
        <v>129745.57</v>
      </c>
      <c r="E147" s="16">
        <f>'Income Statement'!E5</f>
        <v>117140</v>
      </c>
      <c r="F147" s="16">
        <f>'Income Statement'!F5</f>
        <v>131009</v>
      </c>
      <c r="G147" s="16">
        <f>'Income Statement'!G5</f>
        <v>195059</v>
      </c>
    </row>
    <row r="148" spans="2:12" ht="18.75" x14ac:dyDescent="0.25">
      <c r="B148" s="15" t="str">
        <f>'Balance Sheet'!B36</f>
        <v>Inventories</v>
      </c>
      <c r="C148" s="16">
        <f>'Balance Sheet'!C36</f>
        <v>21631.39</v>
      </c>
      <c r="D148" s="16">
        <f>'Balance Sheet'!D36</f>
        <v>22193.79</v>
      </c>
      <c r="E148" s="16">
        <f>'Balance Sheet'!E36</f>
        <v>22384</v>
      </c>
      <c r="F148" s="16">
        <f>'Balance Sheet'!F36</f>
        <v>30668</v>
      </c>
      <c r="G148" s="16">
        <f>'Balance Sheet'!G36</f>
        <v>44483</v>
      </c>
    </row>
    <row r="149" spans="2:12" ht="18.75" x14ac:dyDescent="0.25">
      <c r="B149" s="15" t="s">
        <v>192</v>
      </c>
      <c r="C149" s="16">
        <f>ROUND(365/C147*C148, 2)</f>
        <v>68.540000000000006</v>
      </c>
      <c r="D149" s="16">
        <f t="shared" ref="D149:G149" si="31">ROUND(365/D147*D148, 2)</f>
        <v>62.44</v>
      </c>
      <c r="E149" s="16">
        <f t="shared" si="31"/>
        <v>69.75</v>
      </c>
      <c r="F149" s="16">
        <f t="shared" si="31"/>
        <v>85.44</v>
      </c>
      <c r="G149" s="16">
        <f t="shared" si="31"/>
        <v>83.24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79486.399999999994</v>
      </c>
      <c r="D150" s="16">
        <f>'Income Statement'!D11</f>
        <v>87686.82</v>
      </c>
      <c r="E150" s="16">
        <f>'Income Statement'!E11</f>
        <v>77727</v>
      </c>
      <c r="F150" s="16">
        <f>'Income Statement'!F11</f>
        <v>86276</v>
      </c>
      <c r="G150" s="16">
        <f>'Income Statement'!G11</f>
        <v>125335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37827.229999999996</v>
      </c>
      <c r="D151" s="16">
        <f>'Balance Sheet'!D19</f>
        <v>38409.67</v>
      </c>
      <c r="E151" s="16">
        <f>'Balance Sheet'!E19</f>
        <v>39434</v>
      </c>
      <c r="F151" s="16">
        <f>'Balance Sheet'!F19</f>
        <v>53649</v>
      </c>
      <c r="G151" s="16">
        <f>'Balance Sheet'!G19</f>
        <v>75994</v>
      </c>
    </row>
    <row r="152" spans="2:12" ht="18.75" x14ac:dyDescent="0.25">
      <c r="B152" s="15" t="s">
        <v>194</v>
      </c>
      <c r="C152" s="16">
        <f>ROUND(365/C150*C151, 2)</f>
        <v>173.7</v>
      </c>
      <c r="D152" s="16">
        <f t="shared" ref="D152:G152" si="32">ROUND(365/D150*D151, 2)</f>
        <v>159.88</v>
      </c>
      <c r="E152" s="16">
        <f t="shared" si="32"/>
        <v>185.18</v>
      </c>
      <c r="F152" s="16">
        <f t="shared" si="32"/>
        <v>226.97</v>
      </c>
      <c r="G152" s="16">
        <f t="shared" si="32"/>
        <v>221.31</v>
      </c>
    </row>
    <row r="153" spans="2:12" ht="18.75" x14ac:dyDescent="0.25">
      <c r="B153" s="15" t="s">
        <v>200</v>
      </c>
      <c r="C153" s="16">
        <f>ROUND(C152+C149, 2)</f>
        <v>242.24</v>
      </c>
      <c r="D153" s="16">
        <f t="shared" ref="D153:G153" si="33">ROUND(D152+D149, 2)</f>
        <v>222.32</v>
      </c>
      <c r="E153" s="16">
        <f t="shared" si="33"/>
        <v>254.93</v>
      </c>
      <c r="F153" s="16">
        <f t="shared" si="33"/>
        <v>312.41000000000003</v>
      </c>
      <c r="G153" s="16">
        <f t="shared" si="33"/>
        <v>304.55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79486.399999999994</v>
      </c>
      <c r="D154" s="16">
        <f>'Income Statement'!D11</f>
        <v>87686.82</v>
      </c>
      <c r="E154" s="16">
        <f>'Income Statement'!E11</f>
        <v>77727</v>
      </c>
      <c r="F154" s="16">
        <f>'Income Statement'!F11</f>
        <v>86276</v>
      </c>
      <c r="G154" s="16">
        <f>'Income Statement'!G11</f>
        <v>125335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37827.229999999996</v>
      </c>
      <c r="D155" s="16">
        <f>'Balance Sheet'!D19</f>
        <v>38409.67</v>
      </c>
      <c r="E155" s="16">
        <f>'Balance Sheet'!E19</f>
        <v>39434</v>
      </c>
      <c r="F155" s="16">
        <f>'Balance Sheet'!F19</f>
        <v>53649</v>
      </c>
      <c r="G155" s="16">
        <f>'Balance Sheet'!G19</f>
        <v>75994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>
        <f>ROUND(365/C154*C155, 2)</f>
        <v>173.7</v>
      </c>
      <c r="D156" s="16">
        <f t="shared" ref="D156:G156" si="34">ROUND(365/D154*D155, 2)</f>
        <v>159.88</v>
      </c>
      <c r="E156" s="16">
        <f t="shared" si="34"/>
        <v>185.18</v>
      </c>
      <c r="F156" s="16">
        <f t="shared" si="34"/>
        <v>226.97</v>
      </c>
      <c r="G156" s="16">
        <f t="shared" si="34"/>
        <v>221.31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>
        <f>ROUND(C156-C153, 2)</f>
        <v>-68.540000000000006</v>
      </c>
      <c r="D157" s="28">
        <f t="shared" ref="D157:G157" si="35">ROUND(D156-D153, 2)</f>
        <v>-62.44</v>
      </c>
      <c r="E157" s="28">
        <f t="shared" si="35"/>
        <v>-69.75</v>
      </c>
      <c r="F157" s="28">
        <f t="shared" si="35"/>
        <v>-85.44</v>
      </c>
      <c r="G157" s="28">
        <f t="shared" si="35"/>
        <v>-83.24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1DA8A9D9-16FC-4422-980A-5FEA19BE15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20D2245F-4FCF-4FDB-8E7E-8610F289781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3C5EF45D-85EA-4934-B846-2FF30813943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4E1EAA8E-2E18-4F91-B499-6E6062A0D3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7C136613-BFE7-4545-B70F-92155E6E8DA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8A366181-A821-4F71-B41D-C39CC7E35B4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AA20541D-2D7B-4BBE-858B-69ED8A503A3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205B8070-4E36-445C-B34F-529A9939CF9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138AEF3F-8383-4D4B-BAD4-29837B2D1B4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855C329B-7D51-4628-A017-BF6E2DF4437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1556E704-758C-412A-92D1-3218581763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0217A441-A832-4915-9510-7F79E75FEB4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D9796510-A2EF-4EF4-8CF3-508E2279396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8C85E639-368C-4C71-8757-CE7E88A0303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0291634D-2326-45FA-A5D7-8C5BF7F2DC6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23F280EE-9BD8-4EF6-81F2-4C0C33F143E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D9D9D521-CFBE-4783-83B6-223BFF1C26E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CEBA9034-664A-4A15-A24E-6ECE5FEB7C6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DED28D0A-9DDA-4B26-A001-1AFECD46E71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ED7668F6-955E-41B7-AEA8-D30A7C845CE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F948B7F5-AC07-485F-ADF3-B9418427F0A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57B4A018-9B1F-41AE-81E2-0A996EBBD55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0F80B9EA-3858-49AD-9171-F8C1357041B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D046BCF6-B0CC-4081-8A08-712B2040411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FC148595-EF33-45E0-BF11-1F63A10A341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8B35DC1C-4292-423F-88D5-A2EAF699F7F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F0E278B8-A670-4847-88A9-AA3CB9D7A3F6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B3E01A-8C6B-4717-8556-98A0BC10C99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1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3597.3900000000249</v>
      </c>
      <c r="D6" s="16">
        <f>'Income Statement'!D27</f>
        <v>5318.520000000005</v>
      </c>
      <c r="E6" s="16">
        <f>'Income Statement'!E27</f>
        <v>3049</v>
      </c>
      <c r="F6" s="16">
        <f>'Income Statement'!F27</f>
        <v>3237</v>
      </c>
      <c r="G6" s="16">
        <f>'Income Statement'!G27</f>
        <v>6710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</row>
    <row r="8" spans="2:7" ht="18.75" x14ac:dyDescent="0.25">
      <c r="B8" s="17" t="s">
        <v>146</v>
      </c>
      <c r="C8" s="17">
        <f>ROUND(C6/C7, 2)</f>
        <v>27</v>
      </c>
      <c r="D8" s="17">
        <f t="shared" ref="D8:G8" si="0">ROUND(D6/D7, 2)</f>
        <v>25</v>
      </c>
      <c r="E8" s="17">
        <f t="shared" si="0"/>
        <v>17</v>
      </c>
      <c r="F8" s="17">
        <f t="shared" si="0"/>
        <v>16</v>
      </c>
      <c r="G8" s="17">
        <f t="shared" si="0"/>
        <v>62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62737-857A-413B-AF97-8A8889B0956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293.76</v>
      </c>
      <c r="D6" s="16">
        <f>'Income Statement'!D28</f>
        <v>269.45999999999998</v>
      </c>
      <c r="E6" s="16">
        <f>'Income Statement'!E28</f>
        <v>267</v>
      </c>
      <c r="F6" s="16">
        <f>'Income Statement'!F28</f>
        <v>222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</row>
    <row r="8" spans="2:7" ht="18.75" x14ac:dyDescent="0.25">
      <c r="B8" s="17" t="s">
        <v>148</v>
      </c>
      <c r="C8" s="17">
        <f>ROUND(C6/C7, 2)</f>
        <v>2.2000000000000002</v>
      </c>
      <c r="D8" s="17">
        <f t="shared" ref="D8:G8" si="0">ROUND(D6/D7, 2)</f>
        <v>1.27</v>
      </c>
      <c r="E8" s="17">
        <f t="shared" si="0"/>
        <v>1.49</v>
      </c>
      <c r="F8" s="17">
        <f t="shared" si="0"/>
        <v>1.1000000000000001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48B8-D80E-4FF0-86CC-DC76AA6F0C3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54847.83</v>
      </c>
      <c r="D6" s="16">
        <f>'Balance Sheet'!D9</f>
        <v>59842.98000000001</v>
      </c>
      <c r="E6" s="16">
        <f>'Balance Sheet'!E9</f>
        <v>62568.590000000011</v>
      </c>
      <c r="F6" s="16">
        <f>'Balance Sheet'!F9</f>
        <v>65583.590000000011</v>
      </c>
      <c r="G6" s="16">
        <f>'Balance Sheet'!G9</f>
        <v>72293.590000000011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133.23666666666759</v>
      </c>
      <c r="D7" s="16">
        <f>'Income Statement'!D35</f>
        <v>212.74080000000021</v>
      </c>
      <c r="E7" s="16">
        <f>'Income Statement'!E35</f>
        <v>179.35294117647058</v>
      </c>
      <c r="F7" s="16">
        <f>'Income Statement'!F35</f>
        <v>202.3125</v>
      </c>
      <c r="G7" s="16">
        <f>'Income Statement'!G35</f>
        <v>108.2258064516129</v>
      </c>
    </row>
    <row r="8" spans="2:7" ht="18.75" x14ac:dyDescent="0.25">
      <c r="B8" s="17" t="s">
        <v>150</v>
      </c>
      <c r="C8" s="17">
        <f>ROUND(C6/C7, 2)</f>
        <v>411.66</v>
      </c>
      <c r="D8" s="17">
        <f t="shared" ref="D8:G8" si="0">ROUND(D6/D7, 2)</f>
        <v>281.3</v>
      </c>
      <c r="E8" s="17">
        <f t="shared" si="0"/>
        <v>348.86</v>
      </c>
      <c r="F8" s="17">
        <f t="shared" si="0"/>
        <v>324.17</v>
      </c>
      <c r="G8" s="17">
        <f t="shared" si="0"/>
        <v>667.99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2022-07-03T10:49:38Z</dcterms:created>
  <dcterms:modified xsi:type="dcterms:W3CDTF">2022-07-04T07:14:56Z</dcterms:modified>
</cp:coreProperties>
</file>