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2F30C0CA-FC2C-45AA-913F-021B47011777}" xr6:coauthVersionLast="47" xr6:coauthVersionMax="47" xr10:uidLastSave="{00000000-0000-0000-0000-000000000000}"/>
  <bookViews>
    <workbookView xWindow="-120" yWindow="-120" windowWidth="20730" windowHeight="11160" firstSheet="42" activeTab="44" xr2:uid="{7A484F30-BAE8-4D66-BDB0-A056A5234A56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 s="1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E26" i="4"/>
  <c r="E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39" i="4"/>
  <c r="C30" i="4"/>
  <c r="C40" i="4" s="1"/>
  <c r="C26" i="4"/>
  <c r="C19" i="4"/>
  <c r="C13" i="4"/>
  <c r="C7" i="4"/>
  <c r="C9" i="4" s="1"/>
  <c r="C21" i="4" s="1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/>
  <c r="F9" i="4"/>
  <c r="F21" i="4" s="1"/>
  <c r="G8" i="4"/>
  <c r="G9" i="4" s="1"/>
  <c r="G21" i="4" s="1"/>
  <c r="F38" i="4" l="1"/>
  <c r="E39" i="4"/>
  <c r="E40" i="4" s="1"/>
  <c r="F39" i="4" l="1"/>
  <c r="F40" i="4" s="1"/>
  <c r="G38" i="4"/>
  <c r="G39" i="4" s="1"/>
  <c r="G40" i="4" s="1"/>
</calcChain>
</file>

<file path=xl/sharedStrings.xml><?xml version="1.0" encoding="utf-8"?>
<sst xmlns="http://schemas.openxmlformats.org/spreadsheetml/2006/main" count="490" uniqueCount="203">
  <si>
    <t>Balance Sheet of Tata Steel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</si>
  <si>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</si>
  <si>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</si>
  <si>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</si>
  <si>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</si>
  <si>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</si>
  <si>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</si>
  <si>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</si>
  <si>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</si>
  <si>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</si>
  <si>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</si>
  <si>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</si>
  <si>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</si>
  <si>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</si>
  <si>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</si>
  <si>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</si>
  <si>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</si>
  <si>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</si>
  <si>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</si>
  <si>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</si>
  <si>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</si>
  <si>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</si>
  <si>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</si>
  <si>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</si>
  <si>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</si>
  <si>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</si>
  <si>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</si>
  <si>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</si>
  <si>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</si>
  <si>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</si>
  <si>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</si>
  <si>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</si>
  <si>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</si>
  <si>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</si>
  <si>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</si>
  <si>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</si>
  <si>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</si>
  <si>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</si>
  <si>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</si>
  <si>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</si>
  <si>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</si>
  <si>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</si>
  <si>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</si>
  <si>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</si>
  <si>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</si>
  <si>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</si>
  <si>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</si>
  <si>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</si>
  <si>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</si>
  <si>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</si>
  <si>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</si>
  <si>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</si>
  <si>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</si>
  <si>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</si>
  <si>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</si>
  <si>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Tata Steel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</si>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</sst>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725-48FA-90D6-3C065AFE849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725-48FA-90D6-3C065AFE849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128</c:v>
                </c:pt>
                <c:pt idx="1">
                  <c:v>88</c:v>
                </c:pt>
                <c:pt idx="2">
                  <c:v>12</c:v>
                </c:pt>
                <c:pt idx="3">
                  <c:v>64</c:v>
                </c:pt>
                <c:pt idx="4">
                  <c:v>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725-48FA-90D6-3C065AFE84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1408"/>
        <c:axId val="449420424"/>
      </c:lineChart>
      <c:catAx>
        <c:axId val="44942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0424"/>
        <c:crosses val="autoZero"/>
        <c:auto val="0"/>
        <c:lblAlgn val="ctr"/>
        <c:lblOffset val="100"/>
        <c:noMultiLvlLbl val="0"/>
      </c:catAx>
      <c:valAx>
        <c:axId val="449420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14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3C9-45A9-89F1-BF90573A5C2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3C9-45A9-89F1-BF90573A5C2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0.22</c:v>
                </c:pt>
                <c:pt idx="1">
                  <c:v>0.08</c:v>
                </c:pt>
                <c:pt idx="2">
                  <c:v>0.04</c:v>
                </c:pt>
                <c:pt idx="3">
                  <c:v>0.09</c:v>
                </c:pt>
                <c:pt idx="4">
                  <c:v>0.17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3C9-45A9-89F1-BF90573A5C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656"/>
        <c:axId val="449420752"/>
      </c:lineChart>
      <c:catAx>
        <c:axId val="449426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0752"/>
        <c:crosses val="autoZero"/>
        <c:auto val="0"/>
        <c:lblAlgn val="ctr"/>
        <c:lblOffset val="100"/>
        <c:noMultiLvlLbl val="0"/>
      </c:catAx>
      <c:valAx>
        <c:axId val="449420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94266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E9C-4852-8995-1FC854ABA32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1.69</c:v>
                </c:pt>
                <c:pt idx="1">
                  <c:v>1.52</c:v>
                </c:pt>
                <c:pt idx="2">
                  <c:v>1.7</c:v>
                </c:pt>
                <c:pt idx="3">
                  <c:v>1.04</c:v>
                </c:pt>
                <c:pt idx="4">
                  <c:v>0.63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E9C-4852-8995-1FC854ABA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8952"/>
        <c:axId val="449432888"/>
      </c:lineChart>
      <c:catAx>
        <c:axId val="4494289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2888"/>
        <c:crosses val="autoZero"/>
        <c:auto val="0"/>
        <c:lblAlgn val="ctr"/>
        <c:lblOffset val="100"/>
        <c:noMultiLvlLbl val="0"/>
      </c:catAx>
      <c:valAx>
        <c:axId val="4494328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89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00E-456D-AA03-EEAC37BCB09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00E-456D-AA03-EEAC37BCB09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00E-456D-AA03-EEAC37BCB09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1.62</c:v>
                </c:pt>
                <c:pt idx="1">
                  <c:v>1.63</c:v>
                </c:pt>
                <c:pt idx="2">
                  <c:v>2.11</c:v>
                </c:pt>
                <c:pt idx="3">
                  <c:v>1.57</c:v>
                </c:pt>
                <c:pt idx="4">
                  <c:v>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00E-456D-AA03-EEAC37BCB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4912608"/>
        <c:axId val="624912936"/>
      </c:lineChart>
      <c:catAx>
        <c:axId val="624912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12936"/>
        <c:crosses val="autoZero"/>
        <c:auto val="0"/>
        <c:lblAlgn val="ctr"/>
        <c:lblOffset val="100"/>
        <c:noMultiLvlLbl val="0"/>
      </c:catAx>
      <c:valAx>
        <c:axId val="624912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49126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146-4B5F-AC29-E7DBEDB442C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146-4B5F-AC29-E7DBEDB442C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3146-4B5F-AC29-E7DBEDB442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1.04</c:v>
                </c:pt>
                <c:pt idx="1">
                  <c:v>1.0900000000000001</c:v>
                </c:pt>
                <c:pt idx="2">
                  <c:v>1.51</c:v>
                </c:pt>
                <c:pt idx="3">
                  <c:v>1.1499999999999999</c:v>
                </c:pt>
                <c:pt idx="4">
                  <c:v>1.39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146-4B5F-AC29-E7DBEDB44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490776"/>
        <c:axId val="452491104"/>
      </c:lineChart>
      <c:catAx>
        <c:axId val="452490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491104"/>
        <c:crosses val="autoZero"/>
        <c:auto val="0"/>
        <c:lblAlgn val="ctr"/>
        <c:lblOffset val="100"/>
        <c:noMultiLvlLbl val="0"/>
      </c:catAx>
      <c:valAx>
        <c:axId val="4524911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4907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126-4BA0-BB73-07A4184CFAB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126-4BA0-BB73-07A4184CFAB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4.6399999999999997</c:v>
                </c:pt>
                <c:pt idx="1">
                  <c:v>3.3</c:v>
                </c:pt>
                <c:pt idx="2">
                  <c:v>2.08</c:v>
                </c:pt>
                <c:pt idx="3">
                  <c:v>3.94</c:v>
                </c:pt>
                <c:pt idx="4">
                  <c:v>10.69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126-4BA0-BB73-07A4184CFA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763240"/>
        <c:axId val="625765536"/>
      </c:lineChart>
      <c:catAx>
        <c:axId val="625763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65536"/>
        <c:crosses val="autoZero"/>
        <c:auto val="0"/>
        <c:lblAlgn val="ctr"/>
        <c:lblOffset val="100"/>
        <c:noMultiLvlLbl val="0"/>
      </c:catAx>
      <c:valAx>
        <c:axId val="6257655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57632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BF8-4951-AE01-DAC144C7AB0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BF8-4951-AE01-DAC144C7AB0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BF8-4951-AE01-DAC144C7AB0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0.31</c:v>
                </c:pt>
                <c:pt idx="1">
                  <c:v>0.35</c:v>
                </c:pt>
                <c:pt idx="2">
                  <c:v>0.37</c:v>
                </c:pt>
                <c:pt idx="3">
                  <c:v>0.28999999999999998</c:v>
                </c:pt>
                <c:pt idx="4">
                  <c:v>0.31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BF8-4951-AE01-DAC144C7AB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491760"/>
        <c:axId val="634522232"/>
      </c:lineChart>
      <c:catAx>
        <c:axId val="45249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4522232"/>
        <c:crosses val="autoZero"/>
        <c:auto val="0"/>
        <c:lblAlgn val="ctr"/>
        <c:lblOffset val="100"/>
        <c:noMultiLvlLbl val="0"/>
      </c:catAx>
      <c:valAx>
        <c:axId val="634522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24917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0093-4ACC-96AF-943D1538EC4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0093-4ACC-96AF-943D1538EC4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0093-4ACC-96AF-943D1538EC4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70.31</c:v>
                </c:pt>
                <c:pt idx="1">
                  <c:v>97.17</c:v>
                </c:pt>
                <c:pt idx="2">
                  <c:v>185.69</c:v>
                </c:pt>
                <c:pt idx="3">
                  <c:v>392.22</c:v>
                </c:pt>
                <c:pt idx="4">
                  <c:v>331.94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093-4ACC-96AF-943D1538EC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8208"/>
        <c:axId val="553649848"/>
      </c:lineChart>
      <c:catAx>
        <c:axId val="553648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9848"/>
        <c:crosses val="autoZero"/>
        <c:auto val="0"/>
        <c:lblAlgn val="ctr"/>
        <c:lblOffset val="100"/>
        <c:noMultiLvlLbl val="0"/>
      </c:catAx>
      <c:valAx>
        <c:axId val="5536498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82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5C07-478E-BAAD-C57A63F4423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5C07-478E-BAAD-C57A63F4423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5C07-478E-BAAD-C57A63F4423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C07-478E-BAAD-C57A63F4423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7937.85</c:v>
                </c:pt>
                <c:pt idx="1">
                  <c:v>14458.09</c:v>
                </c:pt>
                <c:pt idx="2">
                  <c:v>27265.279999999999</c:v>
                </c:pt>
                <c:pt idx="3">
                  <c:v>48669.599999999999</c:v>
                </c:pt>
                <c:pt idx="4">
                  <c:v>68901.17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07-478E-BAAD-C57A63F442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704016"/>
        <c:axId val="625704344"/>
      </c:lineChart>
      <c:catAx>
        <c:axId val="625704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04344"/>
        <c:crosses val="autoZero"/>
        <c:auto val="0"/>
        <c:lblAlgn val="ctr"/>
        <c:lblOffset val="100"/>
        <c:noMultiLvlLbl val="0"/>
      </c:catAx>
      <c:valAx>
        <c:axId val="625704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57040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B27E-4AEC-BB6E-9ED09388D7C1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B27E-4AEC-BB6E-9ED09388D7C1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B27E-4AEC-BB6E-9ED09388D7C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0.63</c:v>
                </c:pt>
                <c:pt idx="1">
                  <c:v>0.66</c:v>
                </c:pt>
                <c:pt idx="2">
                  <c:v>0.59</c:v>
                </c:pt>
                <c:pt idx="3">
                  <c:v>0.6</c:v>
                </c:pt>
                <c:pt idx="4">
                  <c:v>0.81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7E-4AEC-BB6E-9ED09388D7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4256"/>
        <c:axId val="553814584"/>
      </c:lineChart>
      <c:catAx>
        <c:axId val="553814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4584"/>
        <c:crosses val="autoZero"/>
        <c:auto val="0"/>
        <c:lblAlgn val="ctr"/>
        <c:lblOffset val="100"/>
        <c:noMultiLvlLbl val="0"/>
      </c:catAx>
      <c:valAx>
        <c:axId val="5538145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42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BE9-45AF-A850-A980FDBFA16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BE9-45AF-A850-A980FDBFA16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4.6500000000000004</c:v>
                </c:pt>
                <c:pt idx="1">
                  <c:v>4.8899999999999997</c:v>
                </c:pt>
                <c:pt idx="2">
                  <c:v>4.7</c:v>
                </c:pt>
                <c:pt idx="3">
                  <c:v>4.6500000000000004</c:v>
                </c:pt>
                <c:pt idx="4">
                  <c:v>4.96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E9-45AF-A850-A980FDBFA1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2560"/>
        <c:axId val="449432232"/>
      </c:lineChart>
      <c:catAx>
        <c:axId val="449432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2232"/>
        <c:crosses val="autoZero"/>
        <c:auto val="0"/>
        <c:lblAlgn val="ctr"/>
        <c:lblOffset val="100"/>
        <c:noMultiLvlLbl val="0"/>
      </c:catAx>
      <c:valAx>
        <c:axId val="449432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25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3B0-4371-8F2E-5C8022D582A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E3B0-4371-8F2E-5C8022D582A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E3B0-4371-8F2E-5C8022D582A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6.04</c:v>
                </c:pt>
                <c:pt idx="1">
                  <c:v>9.33</c:v>
                </c:pt>
                <c:pt idx="2">
                  <c:v>3.07</c:v>
                </c:pt>
                <c:pt idx="3">
                  <c:v>4.68</c:v>
                </c:pt>
                <c:pt idx="4">
                  <c:v>22.52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3B0-4371-8F2E-5C8022D582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6000"/>
        <c:axId val="449425344"/>
      </c:lineChart>
      <c:catAx>
        <c:axId val="449426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5344"/>
        <c:crosses val="autoZero"/>
        <c:auto val="0"/>
        <c:lblAlgn val="ctr"/>
        <c:lblOffset val="100"/>
        <c:noMultiLvlLbl val="0"/>
      </c:catAx>
      <c:valAx>
        <c:axId val="4494253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60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54C-47AB-8758-DCFC5F5EAEAB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54C-47AB-8758-DCFC5F5EAEA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54C-47AB-8758-DCFC5F5EAEA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10.61</c:v>
                </c:pt>
                <c:pt idx="1">
                  <c:v>13.1</c:v>
                </c:pt>
                <c:pt idx="2">
                  <c:v>18.53</c:v>
                </c:pt>
                <c:pt idx="3">
                  <c:v>16.22</c:v>
                </c:pt>
                <c:pt idx="4">
                  <c:v>19.79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4C-47AB-8758-DCFC5F5EAE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6168"/>
        <c:axId val="449431576"/>
      </c:lineChart>
      <c:catAx>
        <c:axId val="449436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1576"/>
        <c:crosses val="autoZero"/>
        <c:auto val="0"/>
        <c:lblAlgn val="ctr"/>
        <c:lblOffset val="100"/>
        <c:noMultiLvlLbl val="0"/>
      </c:catAx>
      <c:valAx>
        <c:axId val="449431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61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EE8-4A4B-BF03-645A9D9B2FB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EE8-4A4B-BF03-645A9D9B2FB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1.46</c:v>
                </c:pt>
                <c:pt idx="1">
                  <c:v>1.31</c:v>
                </c:pt>
                <c:pt idx="2">
                  <c:v>1.1399999999999999</c:v>
                </c:pt>
                <c:pt idx="3">
                  <c:v>1.2</c:v>
                </c:pt>
                <c:pt idx="4">
                  <c:v>1.95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E8-4A4B-BF03-645A9D9B2F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42136"/>
        <c:axId val="447841808"/>
      </c:lineChart>
      <c:catAx>
        <c:axId val="447842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41808"/>
        <c:crosses val="autoZero"/>
        <c:auto val="0"/>
        <c:lblAlgn val="ctr"/>
        <c:lblOffset val="100"/>
        <c:noMultiLvlLbl val="0"/>
      </c:catAx>
      <c:valAx>
        <c:axId val="4478418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421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F0B-4D4B-AF60-91231B8205C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8F0B-4D4B-AF60-91231B8205C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8F0B-4D4B-AF60-91231B8205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0.85</c:v>
                </c:pt>
                <c:pt idx="1">
                  <c:v>0.93</c:v>
                </c:pt>
                <c:pt idx="2">
                  <c:v>1.04</c:v>
                </c:pt>
                <c:pt idx="3">
                  <c:v>0.57999999999999996</c:v>
                </c:pt>
                <c:pt idx="4">
                  <c:v>0.87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F0B-4D4B-AF60-91231B8205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6576"/>
        <c:axId val="553592968"/>
      </c:lineChart>
      <c:catAx>
        <c:axId val="55359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2968"/>
        <c:crosses val="autoZero"/>
        <c:auto val="0"/>
        <c:lblAlgn val="ctr"/>
        <c:lblOffset val="100"/>
        <c:noMultiLvlLbl val="0"/>
      </c:catAx>
      <c:valAx>
        <c:axId val="553592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28A-408A-8474-FB0F0E62AC8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28A-408A-8474-FB0F0E62AC8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78.489999999999995</c:v>
                </c:pt>
                <c:pt idx="1">
                  <c:v>74.69</c:v>
                </c:pt>
                <c:pt idx="2">
                  <c:v>77.62</c:v>
                </c:pt>
                <c:pt idx="3">
                  <c:v>78.5</c:v>
                </c:pt>
                <c:pt idx="4">
                  <c:v>73.540000000000006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8A-408A-8474-FB0F0E62AC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42352"/>
        <c:axId val="548323136"/>
      </c:lineChart>
      <c:catAx>
        <c:axId val="54954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3136"/>
        <c:crosses val="autoZero"/>
        <c:auto val="0"/>
        <c:lblAlgn val="ctr"/>
        <c:lblOffset val="100"/>
        <c:noMultiLvlLbl val="0"/>
      </c:catAx>
      <c:valAx>
        <c:axId val="548323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423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AB2-464D-8056-D5B9702E1C2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431.45</c:v>
                </c:pt>
                <c:pt idx="1">
                  <c:v>394.43</c:v>
                </c:pt>
                <c:pt idx="2">
                  <c:v>352.15</c:v>
                </c:pt>
                <c:pt idx="3">
                  <c:v>629.15</c:v>
                </c:pt>
                <c:pt idx="4">
                  <c:v>420.06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B2-464D-8056-D5B9702E1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322152"/>
        <c:axId val="548324776"/>
      </c:lineChart>
      <c:catAx>
        <c:axId val="548322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776"/>
        <c:crosses val="autoZero"/>
        <c:auto val="0"/>
        <c:lblAlgn val="ctr"/>
        <c:lblOffset val="100"/>
        <c:noMultiLvlLbl val="0"/>
      </c:catAx>
      <c:valAx>
        <c:axId val="548324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832215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2A7-49D1-9F7A-4053FF84950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34.4</c:v>
                </c:pt>
                <c:pt idx="1">
                  <c:v>27.87</c:v>
                </c:pt>
                <c:pt idx="2">
                  <c:v>19.7</c:v>
                </c:pt>
                <c:pt idx="3">
                  <c:v>22.51</c:v>
                </c:pt>
                <c:pt idx="4">
                  <c:v>18.45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A7-49D1-9F7A-4053FF849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8136"/>
        <c:axId val="451378304"/>
      </c:lineChart>
      <c:catAx>
        <c:axId val="450788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378304"/>
        <c:crosses val="autoZero"/>
        <c:auto val="0"/>
        <c:lblAlgn val="ctr"/>
        <c:lblOffset val="100"/>
        <c:noMultiLvlLbl val="0"/>
      </c:catAx>
      <c:valAx>
        <c:axId val="4513783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7881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7D2-4F2C-8ED2-B5C85088D9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509.94</c:v>
                </c:pt>
                <c:pt idx="1">
                  <c:v>469.12</c:v>
                </c:pt>
                <c:pt idx="2">
                  <c:v>429.77</c:v>
                </c:pt>
                <c:pt idx="3">
                  <c:v>707.65</c:v>
                </c:pt>
                <c:pt idx="4">
                  <c:v>493.6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D2-4F2C-8ED2-B5C85088D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4520264"/>
        <c:axId val="634523216"/>
      </c:lineChart>
      <c:catAx>
        <c:axId val="634520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4523216"/>
        <c:crosses val="autoZero"/>
        <c:auto val="0"/>
        <c:lblAlgn val="ctr"/>
        <c:lblOffset val="100"/>
        <c:noMultiLvlLbl val="0"/>
      </c:catAx>
      <c:valAx>
        <c:axId val="634523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345202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51F-4005-8B91-7B2F8638989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51F-4005-8B91-7B2F863898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-78.489999999999995</c:v>
                </c:pt>
                <c:pt idx="1">
                  <c:v>-74.69</c:v>
                </c:pt>
                <c:pt idx="2">
                  <c:v>-77.62</c:v>
                </c:pt>
                <c:pt idx="3">
                  <c:v>-78.5</c:v>
                </c:pt>
                <c:pt idx="4">
                  <c:v>-73.540000000000006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51F-4005-8B91-7B2F863898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2790280"/>
        <c:axId val="632787984"/>
      </c:lineChart>
      <c:catAx>
        <c:axId val="632790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787984"/>
        <c:crosses val="autoZero"/>
        <c:auto val="0"/>
        <c:lblAlgn val="ctr"/>
        <c:lblOffset val="100"/>
        <c:noMultiLvlLbl val="0"/>
      </c:catAx>
      <c:valAx>
        <c:axId val="632787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6327902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58595.6</c:v>
                </c:pt>
                <c:pt idx="1">
                  <c:v>68018.64999999998</c:v>
                </c:pt>
                <c:pt idx="2">
                  <c:v>72048.059999999969</c:v>
                </c:pt>
                <c:pt idx="3">
                  <c:v>86619.699999999968</c:v>
                </c:pt>
                <c:pt idx="4">
                  <c:v>127932.14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E4-4F97-9AC1-83AF455A5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5705656"/>
        <c:axId val="625706968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207482.91999999998</c:v>
                </c:pt>
                <c:pt idx="1">
                  <c:v>232675.95999999996</c:v>
                </c:pt>
                <c:pt idx="2">
                  <c:v>248891.20999999996</c:v>
                </c:pt>
                <c:pt idx="3">
                  <c:v>257868.13999999996</c:v>
                </c:pt>
                <c:pt idx="4">
                  <c:v>298934.69999999995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E4-4F97-9AC1-83AF455A59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705656"/>
        <c:axId val="625706968"/>
      </c:lineChart>
      <c:catAx>
        <c:axId val="625705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06968"/>
        <c:crosses val="autoZero"/>
        <c:auto val="1"/>
        <c:lblAlgn val="ctr"/>
        <c:lblOffset val="100"/>
        <c:noMultiLvlLbl val="0"/>
      </c:catAx>
      <c:valAx>
        <c:axId val="6257069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0565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31483.380000000005</c:v>
                </c:pt>
                <c:pt idx="1">
                  <c:v>32633.75999999998</c:v>
                </c:pt>
                <c:pt idx="2">
                  <c:v>24480</c:v>
                </c:pt>
                <c:pt idx="3">
                  <c:v>39201.14</c:v>
                </c:pt>
                <c:pt idx="4">
                  <c:v>67467.680000000022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46-4D2C-B742-D28E9B4E7835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25521.720000000005</c:v>
                </c:pt>
                <c:pt idx="1">
                  <c:v>25291.929999999978</c:v>
                </c:pt>
                <c:pt idx="2">
                  <c:v>15772.33</c:v>
                </c:pt>
                <c:pt idx="3">
                  <c:v>29967.5</c:v>
                </c:pt>
                <c:pt idx="4">
                  <c:v>58366.810000000019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46-4D2C-B742-D28E9B4E78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32789952"/>
        <c:axId val="632787000"/>
      </c:barChart>
      <c:catAx>
        <c:axId val="632789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787000"/>
        <c:crosses val="autoZero"/>
        <c:auto val="1"/>
        <c:lblAlgn val="ctr"/>
        <c:lblOffset val="100"/>
        <c:noMultiLvlLbl val="0"/>
      </c:catAx>
      <c:valAx>
        <c:axId val="632787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7899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38A5-4D97-B528-C06061E1834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8A5-4D97-B528-C06061E1834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38A5-4D97-B528-C06061E1834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286.12</c:v>
                </c:pt>
                <c:pt idx="1">
                  <c:v>554.61</c:v>
                </c:pt>
                <c:pt idx="2">
                  <c:v>148.68</c:v>
                </c:pt>
                <c:pt idx="3">
                  <c:v>353.92</c:v>
                </c:pt>
                <c:pt idx="4">
                  <c:v>958.92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8A5-4D97-B528-C06061E183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4906376"/>
        <c:axId val="624907688"/>
      </c:lineChart>
      <c:catAx>
        <c:axId val="624906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07688"/>
        <c:crosses val="autoZero"/>
        <c:auto val="0"/>
        <c:lblAlgn val="ctr"/>
        <c:lblOffset val="100"/>
        <c:noMultiLvlLbl val="0"/>
      </c:catAx>
      <c:valAx>
        <c:axId val="624907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49063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79139.170000000013</c:v>
                </c:pt>
                <c:pt idx="1">
                  <c:v>95877.819999999978</c:v>
                </c:pt>
                <c:pt idx="2">
                  <c:v>109297.33999999997</c:v>
                </c:pt>
                <c:pt idx="3">
                  <c:v>122910.11999999997</c:v>
                </c:pt>
                <c:pt idx="4">
                  <c:v>169974.61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3E-491E-82AE-F42C6814ED46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48706.84</c:v>
                </c:pt>
                <c:pt idx="1">
                  <c:v>58688.149999999994</c:v>
                </c:pt>
                <c:pt idx="2">
                  <c:v>51705.72</c:v>
                </c:pt>
                <c:pt idx="3">
                  <c:v>78070.359999999986</c:v>
                </c:pt>
                <c:pt idx="4">
                  <c:v>87192.68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43E-491E-82AE-F42C6814E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24902112"/>
        <c:axId val="624906704"/>
      </c:barChart>
      <c:catAx>
        <c:axId val="62490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06704"/>
        <c:crosses val="autoZero"/>
        <c:auto val="1"/>
        <c:lblAlgn val="ctr"/>
        <c:lblOffset val="100"/>
        <c:noMultiLvlLbl val="0"/>
      </c:catAx>
      <c:valAx>
        <c:axId val="624906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021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4338.24</c:v>
                </c:pt>
                <c:pt idx="1">
                  <c:v>4046.21</c:v>
                </c:pt>
                <c:pt idx="2">
                  <c:v>4235.07</c:v>
                </c:pt>
                <c:pt idx="3">
                  <c:v>4691.92</c:v>
                </c:pt>
                <c:pt idx="4">
                  <c:v>4825.9799999999996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280-42F6-A64B-985CCE649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5764224"/>
        <c:axId val="620740744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1269.6400000000001</c:v>
                </c:pt>
                <c:pt idx="1">
                  <c:v>1248.72</c:v>
                </c:pt>
                <c:pt idx="2">
                  <c:v>1663.67</c:v>
                </c:pt>
                <c:pt idx="3">
                  <c:v>4725.32</c:v>
                </c:pt>
                <c:pt idx="4">
                  <c:v>2768.49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280-42F6-A64B-985CCE6495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583152"/>
        <c:axId val="620743040"/>
      </c:lineChart>
      <c:catAx>
        <c:axId val="625764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0740744"/>
        <c:crosses val="autoZero"/>
        <c:auto val="1"/>
        <c:lblAlgn val="ctr"/>
        <c:lblOffset val="100"/>
        <c:noMultiLvlLbl val="0"/>
      </c:catAx>
      <c:valAx>
        <c:axId val="620740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64224"/>
        <c:crosses val="autoZero"/>
        <c:crossBetween val="between"/>
      </c:valAx>
      <c:valAx>
        <c:axId val="62074304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8583152"/>
        <c:crosses val="max"/>
        <c:crossBetween val="between"/>
      </c:valAx>
      <c:catAx>
        <c:axId val="448583152"/>
        <c:scaling>
          <c:orientation val="minMax"/>
        </c:scaling>
        <c:delete val="1"/>
        <c:axPos val="b"/>
        <c:majorTickMark val="out"/>
        <c:minorTickMark val="none"/>
        <c:tickLblPos val="nextTo"/>
        <c:crossAx val="62074304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41205.43</c:v>
                </c:pt>
                <c:pt idx="1">
                  <c:v>54309.07</c:v>
                </c:pt>
                <c:pt idx="2">
                  <c:v>53592.83</c:v>
                </c:pt>
                <c:pt idx="3">
                  <c:v>45292.49</c:v>
                </c:pt>
                <c:pt idx="4">
                  <c:v>75763.7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B44-4A2F-BD55-0D49C75EE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8582824"/>
        <c:axId val="620741728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B44-4A2F-BD55-0D49C75EE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7131856"/>
        <c:axId val="447131528"/>
      </c:lineChart>
      <c:catAx>
        <c:axId val="448582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0741728"/>
        <c:crosses val="autoZero"/>
        <c:auto val="1"/>
        <c:lblAlgn val="ctr"/>
        <c:lblOffset val="100"/>
        <c:noMultiLvlLbl val="0"/>
      </c:catAx>
      <c:valAx>
        <c:axId val="6207417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582824"/>
        <c:crosses val="autoZero"/>
        <c:crossBetween val="between"/>
      </c:valAx>
      <c:valAx>
        <c:axId val="44713152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47131856"/>
        <c:crosses val="max"/>
        <c:crossBetween val="between"/>
      </c:valAx>
      <c:catAx>
        <c:axId val="447131856"/>
        <c:scaling>
          <c:orientation val="minMax"/>
        </c:scaling>
        <c:delete val="1"/>
        <c:axPos val="b"/>
        <c:majorTickMark val="out"/>
        <c:minorTickMark val="none"/>
        <c:tickLblPos val="nextTo"/>
        <c:crossAx val="44713152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131741.49</c:v>
                </c:pt>
                <c:pt idx="1">
                  <c:v>154691.84</c:v>
                </c:pt>
                <c:pt idx="2">
                  <c:v>146106</c:v>
                </c:pt>
                <c:pt idx="3">
                  <c:v>154719.28</c:v>
                </c:pt>
                <c:pt idx="4">
                  <c:v>242326.87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B18-4AF5-A22A-3DC61580A3E8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131790.32</c:v>
                </c:pt>
                <c:pt idx="1">
                  <c:v>156112.21</c:v>
                </c:pt>
                <c:pt idx="2">
                  <c:v>147927.99</c:v>
                </c:pt>
                <c:pt idx="3">
                  <c:v>155614.88</c:v>
                </c:pt>
                <c:pt idx="4">
                  <c:v>243111.76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18-4AF5-A22A-3DC61580A3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3668376"/>
        <c:axId val="553670016"/>
      </c:barChart>
      <c:catAx>
        <c:axId val="553668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70016"/>
        <c:crosses val="autoZero"/>
        <c:auto val="1"/>
        <c:lblAlgn val="ctr"/>
        <c:lblOffset val="100"/>
        <c:noMultiLvlLbl val="0"/>
      </c:catAx>
      <c:valAx>
        <c:axId val="5536700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683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207482.91999999998</c:v>
                </c:pt>
                <c:pt idx="1">
                  <c:v>232675.95999999996</c:v>
                </c:pt>
                <c:pt idx="2">
                  <c:v>248891.20999999996</c:v>
                </c:pt>
                <c:pt idx="3">
                  <c:v>257868.13999999996</c:v>
                </c:pt>
                <c:pt idx="4">
                  <c:v>298934.69999999995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83-4918-A8F9-CC17167A54C7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99243.96</c:v>
                </c:pt>
                <c:pt idx="1">
                  <c:v>103604.7</c:v>
                </c:pt>
                <c:pt idx="2">
                  <c:v>122550.83</c:v>
                </c:pt>
                <c:pt idx="3">
                  <c:v>89908.4</c:v>
                </c:pt>
                <c:pt idx="4">
                  <c:v>81154.459999999992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83-4918-A8F9-CC17167A5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4525216"/>
        <c:axId val="624528168"/>
      </c:barChart>
      <c:catAx>
        <c:axId val="624525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528168"/>
        <c:crosses val="autoZero"/>
        <c:auto val="1"/>
        <c:lblAlgn val="ctr"/>
        <c:lblOffset val="100"/>
        <c:noMultiLvlLbl val="0"/>
      </c:catAx>
      <c:valAx>
        <c:axId val="62452816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5252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207482.91999999998</c:v>
                </c:pt>
                <c:pt idx="1">
                  <c:v>232675.95999999996</c:v>
                </c:pt>
                <c:pt idx="2">
                  <c:v>248891.20999999996</c:v>
                </c:pt>
                <c:pt idx="3">
                  <c:v>257868.13999999996</c:v>
                </c:pt>
                <c:pt idx="4">
                  <c:v>298934.69999999995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6E-4699-B74A-94C62A990F48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48706.84</c:v>
                </c:pt>
                <c:pt idx="1">
                  <c:v>58688.149999999994</c:v>
                </c:pt>
                <c:pt idx="2">
                  <c:v>51705.72</c:v>
                </c:pt>
                <c:pt idx="3">
                  <c:v>78070.359999999986</c:v>
                </c:pt>
                <c:pt idx="4">
                  <c:v>87192.68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6E-4699-B74A-94C62A990F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47816376"/>
        <c:axId val="447816704"/>
      </c:barChart>
      <c:catAx>
        <c:axId val="447816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16704"/>
        <c:crosses val="autoZero"/>
        <c:auto val="1"/>
        <c:lblAlgn val="ctr"/>
        <c:lblOffset val="100"/>
        <c:noMultiLvlLbl val="0"/>
      </c:catAx>
      <c:valAx>
        <c:axId val="447816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1637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207482.92</c:v>
                </c:pt>
                <c:pt idx="1">
                  <c:v>232675.96</c:v>
                </c:pt>
                <c:pt idx="2">
                  <c:v>248891.20999999996</c:v>
                </c:pt>
                <c:pt idx="3">
                  <c:v>257868.13999999996</c:v>
                </c:pt>
                <c:pt idx="4">
                  <c:v>298934.69999999995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1C7-44C1-B3D1-46CA320F796D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128343.75</c:v>
                </c:pt>
                <c:pt idx="1">
                  <c:v>136798.14000000001</c:v>
                </c:pt>
                <c:pt idx="2">
                  <c:v>139593.87</c:v>
                </c:pt>
                <c:pt idx="3">
                  <c:v>134958.01999999999</c:v>
                </c:pt>
                <c:pt idx="4">
                  <c:v>128960.08999999998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1C7-44C1-B3D1-46CA320F79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6830600"/>
        <c:axId val="626827976"/>
      </c:barChart>
      <c:catAx>
        <c:axId val="62683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827976"/>
        <c:crosses val="autoZero"/>
        <c:auto val="1"/>
        <c:lblAlgn val="ctr"/>
        <c:lblOffset val="100"/>
        <c:noMultiLvlLbl val="0"/>
      </c:catAx>
      <c:valAx>
        <c:axId val="6268279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683060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207482.92</c:v>
                </c:pt>
                <c:pt idx="1">
                  <c:v>232675.96</c:v>
                </c:pt>
                <c:pt idx="2">
                  <c:v>248891.20999999996</c:v>
                </c:pt>
                <c:pt idx="3">
                  <c:v>257868.13999999996</c:v>
                </c:pt>
                <c:pt idx="4">
                  <c:v>298934.69999999995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34-4655-9ABA-196F1F142ACF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79139.170000000013</c:v>
                </c:pt>
                <c:pt idx="1">
                  <c:v>95877.819999999978</c:v>
                </c:pt>
                <c:pt idx="2">
                  <c:v>109297.33999999997</c:v>
                </c:pt>
                <c:pt idx="3">
                  <c:v>122910.11999999997</c:v>
                </c:pt>
                <c:pt idx="4">
                  <c:v>169974.61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34-4655-9ABA-196F1F142A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8982680"/>
        <c:axId val="628983008"/>
      </c:barChart>
      <c:catAx>
        <c:axId val="628982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8983008"/>
        <c:crosses val="autoZero"/>
        <c:auto val="1"/>
        <c:lblAlgn val="ctr"/>
        <c:lblOffset val="100"/>
        <c:noMultiLvlLbl val="0"/>
      </c:catAx>
      <c:valAx>
        <c:axId val="6289830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898268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100306.94</c:v>
                </c:pt>
                <c:pt idx="1">
                  <c:v>123478.45000000001</c:v>
                </c:pt>
                <c:pt idx="2">
                  <c:v>123447.98999999999</c:v>
                </c:pt>
                <c:pt idx="3">
                  <c:v>116413.74</c:v>
                </c:pt>
                <c:pt idx="4">
                  <c:v>175644.08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2D-4F81-B416-4D57A2A1F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6750680"/>
        <c:axId val="446751992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131790.32</c:v>
                </c:pt>
                <c:pt idx="1">
                  <c:v>156112.21</c:v>
                </c:pt>
                <c:pt idx="2">
                  <c:v>147927.99</c:v>
                </c:pt>
                <c:pt idx="3">
                  <c:v>155614.88</c:v>
                </c:pt>
                <c:pt idx="4">
                  <c:v>243111.76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2D-4F81-B416-4D57A2A1F0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824184"/>
        <c:axId val="559825168"/>
      </c:lineChart>
      <c:catAx>
        <c:axId val="446750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1992"/>
        <c:crosses val="autoZero"/>
        <c:auto val="1"/>
        <c:lblAlgn val="ctr"/>
        <c:lblOffset val="100"/>
        <c:noMultiLvlLbl val="0"/>
      </c:catAx>
      <c:valAx>
        <c:axId val="446751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0680"/>
        <c:crosses val="autoZero"/>
        <c:crossBetween val="between"/>
      </c:valAx>
      <c:valAx>
        <c:axId val="55982516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9824184"/>
        <c:crosses val="max"/>
        <c:crossBetween val="between"/>
      </c:valAx>
      <c:catAx>
        <c:axId val="559824184"/>
        <c:scaling>
          <c:orientation val="minMax"/>
        </c:scaling>
        <c:delete val="1"/>
        <c:axPos val="b"/>
        <c:majorTickMark val="out"/>
        <c:minorTickMark val="none"/>
        <c:tickLblPos val="nextTo"/>
        <c:crossAx val="55982516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24882.010000000002</c:v>
                </c:pt>
                <c:pt idx="1">
                  <c:v>9423.0599999999777</c:v>
                </c:pt>
                <c:pt idx="2">
                  <c:v>4029.4</c:v>
                </c:pt>
                <c:pt idx="3">
                  <c:v>14518.980000000001</c:v>
                </c:pt>
                <c:pt idx="4">
                  <c:v>41288.840000000026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05-49EF-A3E7-F51663187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46671656"/>
        <c:axId val="546667064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26213.660000000003</c:v>
                </c:pt>
                <c:pt idx="1">
                  <c:v>10792.429999999978</c:v>
                </c:pt>
                <c:pt idx="2">
                  <c:v>5814.93</c:v>
                </c:pt>
                <c:pt idx="3">
                  <c:v>15663.730000000001</c:v>
                </c:pt>
                <c:pt idx="4">
                  <c:v>44293.000000000029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F05-49EF-A3E7-F516631877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6672968"/>
        <c:axId val="546672312"/>
      </c:lineChart>
      <c:catAx>
        <c:axId val="5466716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67064"/>
        <c:crosses val="autoZero"/>
        <c:auto val="1"/>
        <c:lblAlgn val="ctr"/>
        <c:lblOffset val="100"/>
        <c:noMultiLvlLbl val="0"/>
      </c:catAx>
      <c:valAx>
        <c:axId val="546667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671656"/>
        <c:crosses val="autoZero"/>
        <c:crossBetween val="between"/>
      </c:valAx>
      <c:valAx>
        <c:axId val="54667231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6672968"/>
        <c:crosses val="max"/>
        <c:crossBetween val="between"/>
      </c:valAx>
      <c:catAx>
        <c:axId val="546672968"/>
        <c:scaling>
          <c:orientation val="minMax"/>
        </c:scaling>
        <c:delete val="1"/>
        <c:axPos val="b"/>
        <c:majorTickMark val="out"/>
        <c:minorTickMark val="none"/>
        <c:tickLblPos val="nextTo"/>
        <c:crossAx val="546672312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24D-4530-AD5A-0D3239B32E6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24D-4530-AD5A-0D3239B32E6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24D-4530-AD5A-0D3239B32E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0.05</c:v>
                </c:pt>
                <c:pt idx="1">
                  <c:v>0.11</c:v>
                </c:pt>
                <c:pt idx="2">
                  <c:v>0.26</c:v>
                </c:pt>
                <c:pt idx="3">
                  <c:v>7.0000000000000007E-2</c:v>
                </c:pt>
                <c:pt idx="4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24D-4530-AD5A-0D3239B32E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9976"/>
        <c:axId val="364042760"/>
      </c:lineChart>
      <c:catAx>
        <c:axId val="3640499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2760"/>
        <c:crosses val="autoZero"/>
        <c:auto val="0"/>
        <c:lblAlgn val="ctr"/>
        <c:lblOffset val="100"/>
        <c:noMultiLvlLbl val="0"/>
      </c:catAx>
      <c:valAx>
        <c:axId val="36404276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640499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194-4397-B4FB-CD5262B9325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-5.04</c:v>
                </c:pt>
                <c:pt idx="1">
                  <c:v>-8.33</c:v>
                </c:pt>
                <c:pt idx="2">
                  <c:v>-2.0699999999999998</c:v>
                </c:pt>
                <c:pt idx="3">
                  <c:v>-3.6799999999999997</c:v>
                </c:pt>
                <c:pt idx="4">
                  <c:v>-21.52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194-4397-B4FB-CD5262B932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4910968"/>
        <c:axId val="624909656"/>
      </c:lineChart>
      <c:catAx>
        <c:axId val="624910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909656"/>
        <c:crosses val="autoZero"/>
        <c:auto val="0"/>
        <c:lblAlgn val="ctr"/>
        <c:lblOffset val="100"/>
        <c:noMultiLvlLbl val="0"/>
      </c:catAx>
      <c:valAx>
        <c:axId val="6249096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249109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464-4664-B8A5-396A928E8C4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464-4664-B8A5-396A928E8C4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464-4664-B8A5-396A928E8C4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90536.06</c:v>
                </c:pt>
                <c:pt idx="1">
                  <c:v>100382.77</c:v>
                </c:pt>
                <c:pt idx="2">
                  <c:v>92513.17</c:v>
                </c:pt>
                <c:pt idx="3">
                  <c:v>109426.79</c:v>
                </c:pt>
                <c:pt idx="4">
                  <c:v>166563.17000000001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64-4664-B8A5-396A928E8C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8544"/>
        <c:axId val="104320384"/>
      </c:lineChart>
      <c:catAx>
        <c:axId val="44076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20384"/>
        <c:crosses val="autoZero"/>
        <c:auto val="0"/>
        <c:lblAlgn val="ctr"/>
        <c:lblOffset val="100"/>
        <c:noMultiLvlLbl val="0"/>
      </c:catAx>
      <c:valAx>
        <c:axId val="104320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07685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5DF-40FE-B7C6-75A0F297EFC3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5DF-40FE-B7C6-75A0F297EFC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31434.55</c:v>
                </c:pt>
                <c:pt idx="1">
                  <c:v>31213.39</c:v>
                </c:pt>
                <c:pt idx="2">
                  <c:v>22658.01</c:v>
                </c:pt>
                <c:pt idx="3">
                  <c:v>38305.54</c:v>
                </c:pt>
                <c:pt idx="4">
                  <c:v>66682.789999999994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5DF-40FE-B7C6-75A0F297EF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793120"/>
        <c:axId val="364043088"/>
      </c:lineChart>
      <c:catAx>
        <c:axId val="439793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3088"/>
        <c:crosses val="autoZero"/>
        <c:auto val="0"/>
        <c:lblAlgn val="ctr"/>
        <c:lblOffset val="100"/>
        <c:noMultiLvlLbl val="0"/>
      </c:catAx>
      <c:valAx>
        <c:axId val="3640430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397931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2AA-431C-A6EE-9797EE78B18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2AA-431C-A6EE-9797EE78B18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0.13</c:v>
                </c:pt>
                <c:pt idx="1">
                  <c:v>0.05</c:v>
                </c:pt>
                <c:pt idx="2">
                  <c:v>0.02</c:v>
                </c:pt>
                <c:pt idx="3">
                  <c:v>0.06</c:v>
                </c:pt>
                <c:pt idx="4">
                  <c:v>0.15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2AA-431C-A6EE-9797EE78B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5708280"/>
        <c:axId val="625703688"/>
      </c:lineChart>
      <c:catAx>
        <c:axId val="6257082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703688"/>
        <c:crosses val="autoZero"/>
        <c:auto val="0"/>
        <c:lblAlgn val="ctr"/>
        <c:lblOffset val="100"/>
        <c:noMultiLvlLbl val="0"/>
      </c:catAx>
      <c:valAx>
        <c:axId val="6257036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257082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FAF-49D0-BB82-E238F39506B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FAF-49D0-BB82-E238F39506B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0.13</c:v>
                </c:pt>
                <c:pt idx="1">
                  <c:v>0.12</c:v>
                </c:pt>
                <c:pt idx="2">
                  <c:v>0.06</c:v>
                </c:pt>
                <c:pt idx="3">
                  <c:v>0.17</c:v>
                </c:pt>
                <c:pt idx="4">
                  <c:v>0.36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FAF-49D0-BB82-E238F39506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2490448"/>
        <c:axId val="452491432"/>
      </c:lineChart>
      <c:catAx>
        <c:axId val="452490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491432"/>
        <c:crosses val="autoZero"/>
        <c:auto val="0"/>
        <c:lblAlgn val="ctr"/>
        <c:lblOffset val="100"/>
        <c:noMultiLvlLbl val="0"/>
      </c:catAx>
      <c:valAx>
        <c:axId val="4524914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524904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6D0DC1-E380-536D-A3F5-85EE6639A2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AE2364-1CD0-C91D-A16C-A02ADA0AC4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EA5E5B-09A9-557A-CC30-CCC41AAD35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BB9E54-6E78-C308-244E-736D411320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0BF976-979B-8F9C-5E22-A4FC22581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5BBAF49-7CC0-63C5-C64D-9B8B0D3C0F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28D6AF-DDDD-B7CF-0A41-02606F2D13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87F940-3654-1A8C-C7BA-A6AC5DBC60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5798DF-60B5-C1BA-D850-0C06CBF9F9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ADCC07-1354-9C39-420F-406D0A3A32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990C126-1826-65F0-5324-F4C664151F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A1F7D63-1E60-C536-F4B3-135B04859D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6BF75D-6871-7F67-D907-1058F07BE0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0C4728-8A96-E659-080B-8ED7C9693B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AC886CE-27E8-9E34-01B4-FD460A2AA8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D1AF29-435E-FF2F-FA38-ADB013FB9E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BB381B-6AAE-D82B-0445-AC90BA0CA0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61FEE50-9057-1A02-3557-CE6C291B53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0D04EF4-69CF-06CA-0A11-8C72DBDDD3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C2F179-72CF-EB30-E791-B30A2CC5E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1A5B2667-254D-097F-0FD5-C2EA9AA78F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CD956C39-0E0D-C64C-AFD9-ABB18551CC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1B7F63-43A4-AA1C-D64F-EE3C9D031F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D490C6AF-63D1-CE23-36E5-7CB34412A61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07128397-B314-5840-329C-715BA89C98D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6A3AC957-F8B5-26CB-E7E0-7DB6A7E6B9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73A0A5C8-A2D7-717A-83A1-D942A44506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0A9397C6-49AA-E076-C166-25C5FCA57A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8AD21240-58C7-66CF-9EE9-0E70C08EEB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0E5CAE96-6A18-F232-40F9-5F02104743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AA521412-AE6C-FA3B-CDBD-579AAA4979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9883D8C5-BF4E-660F-B8B6-2D63491A7A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255D9A53-E6FA-7168-4936-8F292787E8A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0434B5E-BA83-DEEE-5088-C6B22B7464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9B7C591-1C62-53B2-E2F6-CF126D7421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05457CF-042C-F47C-7658-6A0515C062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895756-CA16-76E6-2C29-E06E7BB93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E7BF72-FF76-9669-A2BB-F3D69C1B1C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C77378-E67D-DC42-5EE5-0370B84CA67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2010C-9214-48F7-BE3E-A0170AB2A330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 s="2">
        <v>1144.95</v>
      </c>
      <c r="D6" s="2">
        <v>1144.94</v>
      </c>
      <c r="E6" s="2">
        <v>1144.95</v>
      </c>
      <c r="F6" s="2">
        <v>1197.6099999999999</v>
      </c>
      <c r="G6" s="2">
        <v>1221.21</v>
      </c>
      <c r="H6" t="s">
        <v>1</v>
      </c>
    </row>
    <row r="7" spans="1:8" x14ac:dyDescent="0.25">
      <c r="B7" t="s">
        <v>6</v>
      </c>
      <c r="C7" s="2">
        <v>1144.95</v>
      </c>
      <c r="D7" s="2">
        <v>1144.94</v>
      </c>
      <c r="E7" s="2">
        <v>1144.95</v>
      </c>
      <c r="F7" s="2">
        <v>1197.6099999999999</v>
      </c>
      <c r="G7" s="2">
        <v>1221.21</v>
      </c>
      <c r="H7" t="s">
        <v>1</v>
      </c>
    </row>
    <row r="8" spans="1:8" x14ac:dyDescent="0.25">
      <c r="A8" t="s">
        <v>90</v>
      </c>
      <c r="B8" t="s">
        <v>7</v>
      </c>
      <c r="C8" s="2">
        <v>57450.65</v>
      </c>
      <c r="D8" s="2">
        <v>65505.14</v>
      </c>
      <c r="E8" s="2">
        <v>70156.350000000006</v>
      </c>
      <c r="F8" s="2">
        <v>72262.38</v>
      </c>
      <c r="G8" s="2">
        <v>113221.83</v>
      </c>
      <c r="H8" t="s">
        <v>1</v>
      </c>
    </row>
    <row r="9" spans="1:8" x14ac:dyDescent="0.25">
      <c r="B9" t="s">
        <v>8</v>
      </c>
      <c r="C9" s="2">
        <v>57450.65</v>
      </c>
      <c r="D9" s="2">
        <v>65505.14</v>
      </c>
      <c r="E9" s="2">
        <v>70156.350000000006</v>
      </c>
      <c r="F9" s="2">
        <v>72262.38</v>
      </c>
      <c r="G9" s="2">
        <v>113221.83</v>
      </c>
      <c r="H9" t="s">
        <v>1</v>
      </c>
    </row>
    <row r="10" spans="1:8" x14ac:dyDescent="0.25">
      <c r="B10" t="s">
        <v>9</v>
      </c>
      <c r="C10" s="2">
        <v>58595.6</v>
      </c>
      <c r="D10" s="2">
        <v>66650.080000000002</v>
      </c>
      <c r="E10" s="2">
        <v>71301.3</v>
      </c>
      <c r="F10" s="2">
        <v>73459.990000000005</v>
      </c>
      <c r="G10" s="2">
        <v>114443.04</v>
      </c>
      <c r="H10" t="s">
        <v>1</v>
      </c>
    </row>
    <row r="11" spans="1:8" x14ac:dyDescent="0.25">
      <c r="A11" t="s">
        <v>10</v>
      </c>
      <c r="B11" t="s">
        <v>10</v>
      </c>
      <c r="C11" s="2">
        <v>936.52</v>
      </c>
      <c r="D11" s="2">
        <v>2364.46</v>
      </c>
      <c r="E11" s="2">
        <v>2586.6</v>
      </c>
      <c r="F11" s="2">
        <v>3269.68</v>
      </c>
      <c r="G11">
        <v>2655.42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 s="2">
        <v>72789.100000000006</v>
      </c>
      <c r="D13" s="2">
        <v>80342.73</v>
      </c>
      <c r="E13" s="2">
        <v>94104.97</v>
      </c>
      <c r="F13" s="2">
        <v>65698.009999999995</v>
      </c>
      <c r="G13" s="2">
        <v>44764.07</v>
      </c>
      <c r="H13" t="s">
        <v>1</v>
      </c>
    </row>
    <row r="14" spans="1:8" x14ac:dyDescent="0.25">
      <c r="A14" t="s">
        <v>91</v>
      </c>
      <c r="B14" t="s">
        <v>13</v>
      </c>
      <c r="C14" s="2">
        <v>10569.88</v>
      </c>
      <c r="D14" s="2">
        <v>12459.89</v>
      </c>
      <c r="E14" s="2">
        <v>9261.3799999999992</v>
      </c>
      <c r="F14" s="2">
        <v>9241.42</v>
      </c>
      <c r="G14" s="2">
        <v>12325.78</v>
      </c>
      <c r="H14" t="s">
        <v>1</v>
      </c>
    </row>
    <row r="15" spans="1:8" x14ac:dyDescent="0.25">
      <c r="A15" t="s">
        <v>92</v>
      </c>
      <c r="B15" t="s">
        <v>14</v>
      </c>
      <c r="C15" s="2">
        <v>4592.17</v>
      </c>
      <c r="D15" s="2">
        <v>4409.8900000000003</v>
      </c>
      <c r="E15" s="2">
        <v>4994.22</v>
      </c>
      <c r="F15" s="2">
        <v>17480.28</v>
      </c>
      <c r="G15" s="2">
        <v>15843.31</v>
      </c>
      <c r="H15" t="s">
        <v>1</v>
      </c>
    </row>
    <row r="16" spans="1:8" x14ac:dyDescent="0.25">
      <c r="A16" t="s">
        <v>93</v>
      </c>
      <c r="B16" t="s">
        <v>15</v>
      </c>
      <c r="C16" s="2">
        <v>4338.24</v>
      </c>
      <c r="D16" s="2">
        <v>4046.21</v>
      </c>
      <c r="E16" s="2">
        <v>4235.07</v>
      </c>
      <c r="F16" s="2">
        <v>4691.92</v>
      </c>
      <c r="G16" s="2">
        <v>4825.9799999999996</v>
      </c>
      <c r="H16" t="s">
        <v>1</v>
      </c>
    </row>
    <row r="17" spans="1:8" x14ac:dyDescent="0.25">
      <c r="B17" t="s">
        <v>16</v>
      </c>
      <c r="C17" s="2">
        <v>92289.39</v>
      </c>
      <c r="D17" s="2">
        <v>101258.72</v>
      </c>
      <c r="E17" s="2">
        <v>112595.64</v>
      </c>
      <c r="F17" s="2">
        <v>97111.63</v>
      </c>
      <c r="G17" s="2">
        <v>77759.14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15884.98</v>
      </c>
      <c r="D19" s="2">
        <v>10802.08</v>
      </c>
      <c r="E19" s="2">
        <v>19184.48</v>
      </c>
      <c r="F19" s="2">
        <v>14968.97</v>
      </c>
      <c r="G19" s="2">
        <v>24064.61</v>
      </c>
      <c r="H19" t="s">
        <v>1</v>
      </c>
    </row>
    <row r="20" spans="1:8" x14ac:dyDescent="0.25">
      <c r="A20" t="s">
        <v>92</v>
      </c>
      <c r="B20" t="s">
        <v>19</v>
      </c>
      <c r="C20" s="2">
        <v>20413.810000000001</v>
      </c>
      <c r="D20" s="2">
        <v>21716.959999999999</v>
      </c>
      <c r="E20" s="2">
        <v>21380.85</v>
      </c>
      <c r="F20" s="2">
        <v>25967.49</v>
      </c>
      <c r="G20" s="2">
        <v>36764.870000000003</v>
      </c>
      <c r="H20" t="s">
        <v>1</v>
      </c>
    </row>
    <row r="21" spans="1:8" x14ac:dyDescent="0.25">
      <c r="A21" t="s">
        <v>92</v>
      </c>
      <c r="B21" t="s">
        <v>20</v>
      </c>
      <c r="C21" s="2">
        <v>18092.98</v>
      </c>
      <c r="D21" s="2">
        <v>27266.37</v>
      </c>
      <c r="E21" s="2">
        <v>19431.91</v>
      </c>
      <c r="F21" s="2">
        <v>25205.35</v>
      </c>
      <c r="G21" s="2">
        <v>26990.03</v>
      </c>
      <c r="H21" t="s">
        <v>1</v>
      </c>
    </row>
    <row r="22" spans="1:8" x14ac:dyDescent="0.25">
      <c r="A22" t="s">
        <v>93</v>
      </c>
      <c r="B22" t="s">
        <v>21</v>
      </c>
      <c r="C22" s="2">
        <v>1269.6400000000001</v>
      </c>
      <c r="D22" s="2">
        <v>1248.72</v>
      </c>
      <c r="E22" s="2">
        <v>1663.67</v>
      </c>
      <c r="F22" s="2">
        <v>4725.32</v>
      </c>
      <c r="G22" s="2">
        <v>2768.49</v>
      </c>
      <c r="H22" t="s">
        <v>1</v>
      </c>
    </row>
    <row r="23" spans="1:8" x14ac:dyDescent="0.25">
      <c r="B23" t="s">
        <v>22</v>
      </c>
      <c r="C23" s="2">
        <v>55661.41</v>
      </c>
      <c r="D23" s="2">
        <v>61034.13</v>
      </c>
      <c r="E23" s="2">
        <v>61660.91</v>
      </c>
      <c r="F23" s="2">
        <v>70867.13</v>
      </c>
      <c r="G23" s="2">
        <v>90588</v>
      </c>
      <c r="H23" t="s">
        <v>1</v>
      </c>
    </row>
    <row r="24" spans="1:8" x14ac:dyDescent="0.25">
      <c r="B24" t="s">
        <v>23</v>
      </c>
      <c r="C24" s="2">
        <v>209757.94</v>
      </c>
      <c r="D24" s="2">
        <v>233582.39</v>
      </c>
      <c r="E24" s="2">
        <v>250419.45</v>
      </c>
      <c r="F24" s="2">
        <v>245487.21</v>
      </c>
      <c r="G24" s="2">
        <v>285445.59999999998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90322.78</v>
      </c>
      <c r="D27" s="2">
        <v>118450.97</v>
      </c>
      <c r="E27" s="2">
        <v>128053.75999999999</v>
      </c>
      <c r="F27" s="2">
        <v>128454.45</v>
      </c>
      <c r="G27" s="2">
        <v>124504.16</v>
      </c>
      <c r="H27" t="s">
        <v>1</v>
      </c>
    </row>
    <row r="28" spans="1:8" x14ac:dyDescent="0.25">
      <c r="A28" t="s">
        <v>29</v>
      </c>
      <c r="B28" t="s">
        <v>27</v>
      </c>
      <c r="C28" s="2">
        <v>1682.66</v>
      </c>
      <c r="D28" s="2">
        <v>1994.32</v>
      </c>
      <c r="E28" s="2">
        <v>2442.37</v>
      </c>
      <c r="F28" s="2">
        <v>2976.04</v>
      </c>
      <c r="G28" s="2">
        <v>4472.47</v>
      </c>
      <c r="H28" t="s">
        <v>1</v>
      </c>
    </row>
    <row r="29" spans="1:8" x14ac:dyDescent="0.25">
      <c r="A29" t="s">
        <v>28</v>
      </c>
      <c r="B29" t="s">
        <v>28</v>
      </c>
      <c r="C29" s="2">
        <v>16159.8</v>
      </c>
      <c r="D29" s="2">
        <v>17956.509999999998</v>
      </c>
      <c r="E29" s="2">
        <v>18862.060000000001</v>
      </c>
      <c r="F29" s="2">
        <v>18128.740000000002</v>
      </c>
      <c r="G29" s="2">
        <v>21227.62</v>
      </c>
      <c r="H29" t="s">
        <v>1</v>
      </c>
    </row>
    <row r="30" spans="1:8" x14ac:dyDescent="0.25">
      <c r="B30" t="s">
        <v>29</v>
      </c>
      <c r="C30" s="2">
        <v>108619.85</v>
      </c>
      <c r="D30" s="2">
        <v>139086.5</v>
      </c>
      <c r="E30" s="2">
        <v>149992.95999999999</v>
      </c>
      <c r="F30" s="2">
        <v>150437.89000000001</v>
      </c>
      <c r="G30" s="2">
        <v>151022.18</v>
      </c>
      <c r="H30" t="s">
        <v>1</v>
      </c>
    </row>
    <row r="31" spans="1:8" x14ac:dyDescent="0.25">
      <c r="A31" t="s">
        <v>94</v>
      </c>
      <c r="B31" t="s">
        <v>30</v>
      </c>
      <c r="C31" s="2">
        <v>2990.5</v>
      </c>
      <c r="D31" s="2">
        <v>3213.31</v>
      </c>
      <c r="E31" s="2">
        <v>2853.31</v>
      </c>
      <c r="F31" s="2">
        <v>3463.04</v>
      </c>
      <c r="G31" s="2">
        <v>4615.43</v>
      </c>
      <c r="H31" t="s">
        <v>1</v>
      </c>
    </row>
    <row r="32" spans="1:8" x14ac:dyDescent="0.25">
      <c r="A32" t="s">
        <v>95</v>
      </c>
      <c r="B32" t="s">
        <v>31</v>
      </c>
      <c r="C32" s="2">
        <v>1035.8</v>
      </c>
      <c r="D32" s="2">
        <v>808.95</v>
      </c>
      <c r="E32" s="2">
        <v>1270.33</v>
      </c>
      <c r="F32">
        <v>1578.02</v>
      </c>
      <c r="G32" s="2">
        <v>3023.93</v>
      </c>
      <c r="H32" t="s">
        <v>1</v>
      </c>
    </row>
    <row r="33" spans="1:8" x14ac:dyDescent="0.25">
      <c r="A33" t="s">
        <v>95</v>
      </c>
      <c r="B33" t="s">
        <v>32</v>
      </c>
      <c r="C33" s="2">
        <v>717.34</v>
      </c>
      <c r="D33">
        <v>613.34</v>
      </c>
      <c r="E33">
        <v>488.71</v>
      </c>
      <c r="F33">
        <v>91.93</v>
      </c>
      <c r="G33">
        <v>1282.44</v>
      </c>
      <c r="H33" t="s">
        <v>1</v>
      </c>
    </row>
    <row r="34" spans="1:8" x14ac:dyDescent="0.25">
      <c r="A34" t="s">
        <v>95</v>
      </c>
      <c r="B34" t="s">
        <v>33</v>
      </c>
      <c r="C34" s="2">
        <v>24417.84</v>
      </c>
      <c r="D34" s="2">
        <v>26872.69</v>
      </c>
      <c r="E34" s="2">
        <v>33026.89</v>
      </c>
      <c r="F34" s="2">
        <v>25359.74</v>
      </c>
      <c r="G34" s="2">
        <v>28633.81</v>
      </c>
      <c r="H34" t="s">
        <v>1</v>
      </c>
    </row>
    <row r="35" spans="1:8" x14ac:dyDescent="0.25">
      <c r="B35" t="s">
        <v>34</v>
      </c>
      <c r="C35" s="2">
        <v>141880.78</v>
      </c>
      <c r="D35" s="2">
        <v>174591.41</v>
      </c>
      <c r="E35" s="2">
        <v>191686.73</v>
      </c>
      <c r="F35" s="2">
        <v>185275.31</v>
      </c>
      <c r="G35" s="2">
        <v>192888.99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14908.97</v>
      </c>
      <c r="D37" s="2">
        <v>2524.86</v>
      </c>
      <c r="E37" s="2">
        <v>3431.87</v>
      </c>
      <c r="F37" s="2">
        <v>7218.89</v>
      </c>
      <c r="G37" s="2">
        <v>8524.42</v>
      </c>
      <c r="H37" t="s">
        <v>1</v>
      </c>
    </row>
    <row r="38" spans="1:8" x14ac:dyDescent="0.25">
      <c r="A38" t="s">
        <v>96</v>
      </c>
      <c r="B38" t="s">
        <v>37</v>
      </c>
      <c r="C38" s="2">
        <v>28331.040000000001</v>
      </c>
      <c r="D38" s="2">
        <v>31656.1</v>
      </c>
      <c r="E38" s="2">
        <v>31068.720000000001</v>
      </c>
      <c r="F38" s="2">
        <v>33276.379999999997</v>
      </c>
      <c r="G38" s="2">
        <v>48824.39</v>
      </c>
      <c r="H38" t="s">
        <v>1</v>
      </c>
    </row>
    <row r="39" spans="1:8" x14ac:dyDescent="0.25">
      <c r="A39" t="s">
        <v>96</v>
      </c>
      <c r="B39" t="s">
        <v>38</v>
      </c>
      <c r="C39" s="2">
        <v>12415.52</v>
      </c>
      <c r="D39" s="2">
        <v>11811</v>
      </c>
      <c r="E39" s="2">
        <v>7884.91</v>
      </c>
      <c r="F39" s="2">
        <v>9539.84</v>
      </c>
      <c r="G39" s="2">
        <v>12246.43</v>
      </c>
      <c r="H39" t="s">
        <v>1</v>
      </c>
    </row>
    <row r="40" spans="1:8" x14ac:dyDescent="0.25">
      <c r="A40" t="s">
        <v>96</v>
      </c>
      <c r="B40" t="s">
        <v>39</v>
      </c>
      <c r="C40" s="2">
        <v>7937.85</v>
      </c>
      <c r="D40" s="2">
        <v>3341.37</v>
      </c>
      <c r="E40" s="2">
        <v>8054.72</v>
      </c>
      <c r="F40" s="2">
        <v>5782.18</v>
      </c>
      <c r="G40" s="2">
        <v>15898.93</v>
      </c>
      <c r="H40" t="s">
        <v>1</v>
      </c>
    </row>
    <row r="41" spans="1:8" x14ac:dyDescent="0.25">
      <c r="A41" t="s">
        <v>95</v>
      </c>
      <c r="B41" t="s">
        <v>40</v>
      </c>
      <c r="C41">
        <v>256.48</v>
      </c>
      <c r="D41">
        <v>239.7</v>
      </c>
      <c r="E41">
        <v>215.68</v>
      </c>
      <c r="F41">
        <v>5.59</v>
      </c>
      <c r="G41">
        <v>5.84</v>
      </c>
      <c r="H41" t="s">
        <v>1</v>
      </c>
    </row>
    <row r="42" spans="1:8" x14ac:dyDescent="0.25">
      <c r="A42" t="s">
        <v>95</v>
      </c>
      <c r="B42" t="s">
        <v>41</v>
      </c>
      <c r="C42" s="2">
        <v>4027.3</v>
      </c>
      <c r="D42" s="2">
        <v>9417.9500000000007</v>
      </c>
      <c r="E42" s="2">
        <v>8076.82</v>
      </c>
      <c r="F42" s="2">
        <v>4389.0200000000004</v>
      </c>
      <c r="G42" s="2">
        <v>7056.6</v>
      </c>
      <c r="H42" t="s">
        <v>1</v>
      </c>
    </row>
    <row r="43" spans="1:8" x14ac:dyDescent="0.25">
      <c r="B43" t="s">
        <v>42</v>
      </c>
      <c r="C43" s="2">
        <v>67877.16</v>
      </c>
      <c r="D43" s="2">
        <v>58990.98</v>
      </c>
      <c r="E43" s="2">
        <v>58732.72</v>
      </c>
      <c r="F43" s="2">
        <v>60211.9</v>
      </c>
      <c r="G43" s="2">
        <v>92556.61</v>
      </c>
      <c r="H43" t="s">
        <v>1</v>
      </c>
    </row>
    <row r="44" spans="1:8" x14ac:dyDescent="0.25">
      <c r="B44" t="s">
        <v>43</v>
      </c>
      <c r="C44" s="2">
        <v>209757.94</v>
      </c>
      <c r="D44" s="2">
        <v>233582.39</v>
      </c>
      <c r="E44" s="2">
        <v>250419.45</v>
      </c>
      <c r="F44" s="2">
        <v>245487.21</v>
      </c>
      <c r="G44" s="2">
        <v>285445.59999999998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 s="2">
        <v>22182.68</v>
      </c>
      <c r="D47" s="2">
        <v>26941.26</v>
      </c>
      <c r="E47" s="2">
        <v>26907.88</v>
      </c>
      <c r="F47" s="2">
        <v>25723.75</v>
      </c>
      <c r="G47" s="2">
        <v>33004.720000000001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252.97</v>
      </c>
      <c r="D49">
        <v>252.97</v>
      </c>
      <c r="E49">
        <v>252.97</v>
      </c>
      <c r="F49">
        <v>252.97</v>
      </c>
      <c r="G49">
        <v>252.97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753.87</v>
      </c>
      <c r="D51">
        <v>454.53</v>
      </c>
      <c r="E51">
        <v>205.02</v>
      </c>
      <c r="F51">
        <v>0</v>
      </c>
      <c r="G51">
        <v>0</v>
      </c>
      <c r="H51" t="s">
        <v>1</v>
      </c>
    </row>
    <row r="52" spans="2:8" x14ac:dyDescent="0.25">
      <c r="B52" t="s">
        <v>51</v>
      </c>
      <c r="C52">
        <v>455.41</v>
      </c>
      <c r="D52">
        <v>835.83</v>
      </c>
      <c r="E52">
        <v>479.75</v>
      </c>
      <c r="F52">
        <v>0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14908.97</v>
      </c>
      <c r="D55">
        <v>2524.86</v>
      </c>
      <c r="E55" s="2">
        <v>3431.87</v>
      </c>
      <c r="F55" s="2">
        <v>0</v>
      </c>
      <c r="G55" s="2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EEB11-1898-4F40-9D14-814D8DE6F62C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4" width="13.140625" bestFit="1" customWidth="1"/>
    <col min="5" max="5" width="11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1236.18</v>
      </c>
      <c r="D6" s="16">
        <f>'Income Statement'!D28</f>
        <v>1144.76</v>
      </c>
      <c r="E6" s="16">
        <f>'Income Statement'!E28</f>
        <v>1488.13</v>
      </c>
      <c r="F6" s="16">
        <f>'Income Statement'!F28</f>
        <v>1144.75</v>
      </c>
      <c r="G6" s="16">
        <f>'Income Statement'!G28</f>
        <v>3004.16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204.79421875000003</v>
      </c>
      <c r="D7" s="16">
        <f>'Income Statement'!D35</f>
        <v>122.64124999999976</v>
      </c>
      <c r="E7" s="16">
        <f>'Income Statement'!E35</f>
        <v>484.57750000000004</v>
      </c>
      <c r="F7" s="16">
        <f>'Income Statement'!F35</f>
        <v>244.74578125000002</v>
      </c>
      <c r="G7" s="16">
        <f>'Income Statement'!G35</f>
        <v>133.41265060240971</v>
      </c>
    </row>
    <row r="8" spans="2:7" ht="18.75" x14ac:dyDescent="0.25">
      <c r="B8" s="15" t="s">
        <v>148</v>
      </c>
      <c r="C8" s="16">
        <f>ROUND(C6/C7, 2)</f>
        <v>6.04</v>
      </c>
      <c r="D8" s="16">
        <f t="shared" ref="D8:G8" si="0">ROUND(D6/D7, 2)</f>
        <v>9.33</v>
      </c>
      <c r="E8" s="16">
        <f t="shared" si="0"/>
        <v>3.07</v>
      </c>
      <c r="F8" s="16">
        <f t="shared" si="0"/>
        <v>4.68</v>
      </c>
      <c r="G8" s="16">
        <f t="shared" si="0"/>
        <v>22.52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26213.660000000003</v>
      </c>
      <c r="D9" s="16">
        <f>'Income Statement'!D27</f>
        <v>10792.429999999978</v>
      </c>
      <c r="E9" s="16">
        <f>'Income Statement'!E27</f>
        <v>5814.93</v>
      </c>
      <c r="F9" s="16">
        <f>'Income Statement'!F27</f>
        <v>15663.730000000001</v>
      </c>
      <c r="G9" s="16">
        <f>'Income Statement'!G27</f>
        <v>44293.000000000029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204.79421875000003</v>
      </c>
      <c r="D10" s="16">
        <f>'Income Statement'!D35</f>
        <v>122.64124999999976</v>
      </c>
      <c r="E10" s="16">
        <f>'Income Statement'!E35</f>
        <v>484.57750000000004</v>
      </c>
      <c r="F10" s="16">
        <f>'Income Statement'!F35</f>
        <v>244.74578125000002</v>
      </c>
      <c r="G10" s="16">
        <f>'Income Statement'!G35</f>
        <v>133.41265060240971</v>
      </c>
    </row>
    <row r="11" spans="2:7" ht="18.75" x14ac:dyDescent="0.25">
      <c r="B11" s="15" t="s">
        <v>146</v>
      </c>
      <c r="C11" s="16">
        <f>C9/C10</f>
        <v>128</v>
      </c>
      <c r="D11" s="16">
        <f t="shared" ref="D11:G11" si="1">D9/D10</f>
        <v>88</v>
      </c>
      <c r="E11" s="16">
        <f t="shared" si="1"/>
        <v>12</v>
      </c>
      <c r="F11" s="16">
        <f t="shared" si="1"/>
        <v>64</v>
      </c>
      <c r="G11" s="16">
        <f t="shared" si="1"/>
        <v>332.00000000000006</v>
      </c>
    </row>
    <row r="12" spans="2:7" ht="18.75" x14ac:dyDescent="0.25">
      <c r="B12" s="17" t="s">
        <v>152</v>
      </c>
      <c r="C12" s="17">
        <f>ROUND(C8/C11, 2)</f>
        <v>0.05</v>
      </c>
      <c r="D12" s="17">
        <f t="shared" ref="D12:G12" si="2">ROUND(D8/D11, 2)</f>
        <v>0.11</v>
      </c>
      <c r="E12" s="17">
        <f t="shared" si="2"/>
        <v>0.26</v>
      </c>
      <c r="F12" s="17">
        <f t="shared" si="2"/>
        <v>7.0000000000000007E-2</v>
      </c>
      <c r="G12" s="17">
        <f t="shared" si="2"/>
        <v>7.0000000000000007E-2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942FC-F56D-4FC6-A1C0-AD30C44F9F56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6" width="13.5703125" bestFit="1" customWidth="1"/>
    <col min="7" max="7" width="15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1236.18</v>
      </c>
      <c r="D6" s="16">
        <f>'Income Statement'!D28</f>
        <v>1144.76</v>
      </c>
      <c r="E6" s="16">
        <f>'Income Statement'!E28</f>
        <v>1488.13</v>
      </c>
      <c r="F6" s="16">
        <f>'Income Statement'!F28</f>
        <v>1144.75</v>
      </c>
      <c r="G6" s="16">
        <f>'Income Statement'!G28</f>
        <v>3004.16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204.79421875000003</v>
      </c>
      <c r="D7" s="16">
        <f>'Income Statement'!D35</f>
        <v>122.64124999999976</v>
      </c>
      <c r="E7" s="16">
        <f>'Income Statement'!E35</f>
        <v>484.57750000000004</v>
      </c>
      <c r="F7" s="16">
        <f>'Income Statement'!F35</f>
        <v>244.74578125000002</v>
      </c>
      <c r="G7" s="16">
        <f>'Income Statement'!G35</f>
        <v>133.41265060240971</v>
      </c>
    </row>
    <row r="8" spans="2:7" ht="18.75" x14ac:dyDescent="0.25">
      <c r="B8" s="15" t="s">
        <v>154</v>
      </c>
      <c r="C8" s="16">
        <f>ROUND(C6/C7, 2)</f>
        <v>6.04</v>
      </c>
      <c r="D8" s="16">
        <f t="shared" ref="D8:G8" si="0">ROUND(D6/D7, 2)</f>
        <v>9.33</v>
      </c>
      <c r="E8" s="16">
        <f t="shared" si="0"/>
        <v>3.07</v>
      </c>
      <c r="F8" s="16">
        <f t="shared" si="0"/>
        <v>4.68</v>
      </c>
      <c r="G8" s="16">
        <f t="shared" si="0"/>
        <v>22.52</v>
      </c>
    </row>
    <row r="9" spans="2:7" ht="18.75" x14ac:dyDescent="0.25">
      <c r="B9" s="17" t="s">
        <v>155</v>
      </c>
      <c r="C9" s="27">
        <f>1-C8</f>
        <v>-5.04</v>
      </c>
      <c r="D9" s="27">
        <f t="shared" ref="D9:G9" si="1">1-D8</f>
        <v>-8.33</v>
      </c>
      <c r="E9" s="27">
        <f t="shared" si="1"/>
        <v>-2.0699999999999998</v>
      </c>
      <c r="F9" s="27">
        <f t="shared" si="1"/>
        <v>-3.6799999999999997</v>
      </c>
      <c r="G9" s="27">
        <f t="shared" si="1"/>
        <v>-21.52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6C4B8-4680-4AD9-BD17-F503A0C906C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131741.49</v>
      </c>
      <c r="D6" s="16">
        <f>'Income Statement'!D5</f>
        <v>154691.84</v>
      </c>
      <c r="E6" s="16">
        <f>'Income Statement'!E5</f>
        <v>146106</v>
      </c>
      <c r="F6" s="16">
        <f>'Income Statement'!F5</f>
        <v>154719.28</v>
      </c>
      <c r="G6" s="16">
        <f>'Income Statement'!G5</f>
        <v>242326.87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41205.43</v>
      </c>
      <c r="D7" s="16">
        <f>'Income Statement'!D11</f>
        <v>54309.07</v>
      </c>
      <c r="E7" s="16">
        <f>'Income Statement'!E11</f>
        <v>53592.83</v>
      </c>
      <c r="F7" s="16">
        <f>'Income Statement'!F11</f>
        <v>45292.49</v>
      </c>
      <c r="G7" s="16">
        <f>'Income Statement'!G11</f>
        <v>75763.7</v>
      </c>
    </row>
    <row r="8" spans="2:7" ht="18.75" x14ac:dyDescent="0.25">
      <c r="B8" s="17" t="s">
        <v>157</v>
      </c>
      <c r="C8" s="28">
        <f>ROUND(C6- C7, 2)</f>
        <v>90536.06</v>
      </c>
      <c r="D8" s="28">
        <f t="shared" ref="D8:G8" si="0">ROUND(D6- D7, 2)</f>
        <v>100382.77</v>
      </c>
      <c r="E8" s="28">
        <f t="shared" si="0"/>
        <v>92513.17</v>
      </c>
      <c r="F8" s="28">
        <f t="shared" si="0"/>
        <v>109426.79</v>
      </c>
      <c r="G8" s="28">
        <f t="shared" si="0"/>
        <v>166563.17000000001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21578-68F5-4B3A-B6BE-79A19CCC37D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131741.49</v>
      </c>
      <c r="D6" s="16">
        <f>'Income Statement'!D5</f>
        <v>154691.84</v>
      </c>
      <c r="E6" s="16">
        <f>'Income Statement'!E5</f>
        <v>146106</v>
      </c>
      <c r="F6" s="16">
        <f>'Income Statement'!F5</f>
        <v>154719.28</v>
      </c>
      <c r="G6" s="16">
        <f>'Income Statement'!G5</f>
        <v>242326.87</v>
      </c>
    </row>
    <row r="7" spans="2:7" ht="18.75" x14ac:dyDescent="0.25">
      <c r="B7" s="15" t="str">
        <f>'Income Statement'!B15</f>
        <v>Total Expenditure</v>
      </c>
      <c r="C7" s="16">
        <f>'Income Statement'!C15</f>
        <v>100306.94</v>
      </c>
      <c r="D7" s="16">
        <f>'Income Statement'!D15</f>
        <v>123478.45000000001</v>
      </c>
      <c r="E7" s="16">
        <f>'Income Statement'!E15</f>
        <v>123447.98999999999</v>
      </c>
      <c r="F7" s="16">
        <f>'Income Statement'!F15</f>
        <v>116413.74</v>
      </c>
      <c r="G7" s="16">
        <f>'Income Statement'!G15</f>
        <v>175644.08</v>
      </c>
    </row>
    <row r="8" spans="2:7" ht="18.75" x14ac:dyDescent="0.25">
      <c r="B8" s="17" t="s">
        <v>159</v>
      </c>
      <c r="C8" s="28">
        <f>ROUND(C6- C7, 2)</f>
        <v>31434.55</v>
      </c>
      <c r="D8" s="28">
        <f t="shared" ref="D8:G8" si="0">ROUND(D6- D7, 2)</f>
        <v>31213.39</v>
      </c>
      <c r="E8" s="28">
        <f t="shared" si="0"/>
        <v>22658.01</v>
      </c>
      <c r="F8" s="28">
        <f t="shared" si="0"/>
        <v>38305.54</v>
      </c>
      <c r="G8" s="28">
        <f t="shared" si="0"/>
        <v>66682.789999999994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C779E2-9E3E-48BA-A985-8226673CB38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26213.660000000003</v>
      </c>
      <c r="D6" s="16">
        <f>'Income Statement'!D27</f>
        <v>10792.429999999978</v>
      </c>
      <c r="E6" s="16">
        <f>'Income Statement'!E27</f>
        <v>5814.93</v>
      </c>
      <c r="F6" s="16">
        <f>'Income Statement'!F27</f>
        <v>15663.730000000001</v>
      </c>
      <c r="G6" s="16">
        <f>'Income Statement'!G27</f>
        <v>44293.000000000029</v>
      </c>
    </row>
    <row r="7" spans="2:7" ht="18.75" x14ac:dyDescent="0.25">
      <c r="B7" s="15" t="str">
        <f>'Balance Sheet'!B40</f>
        <v>Total Assets</v>
      </c>
      <c r="C7" s="16">
        <f>'Balance Sheet'!C40</f>
        <v>207482.92</v>
      </c>
      <c r="D7" s="16">
        <f>'Balance Sheet'!D40</f>
        <v>232675.96</v>
      </c>
      <c r="E7" s="16">
        <f>'Balance Sheet'!E40</f>
        <v>248891.20999999996</v>
      </c>
      <c r="F7" s="16">
        <f>'Balance Sheet'!F40</f>
        <v>257868.13999999996</v>
      </c>
      <c r="G7" s="16">
        <f>'Balance Sheet'!G40</f>
        <v>298934.69999999995</v>
      </c>
    </row>
    <row r="8" spans="2:7" ht="18.75" x14ac:dyDescent="0.25">
      <c r="B8" s="17" t="s">
        <v>161</v>
      </c>
      <c r="C8" s="27">
        <f>ROUND(C6/ C7, 2)</f>
        <v>0.13</v>
      </c>
      <c r="D8" s="27">
        <f t="shared" ref="D8:G8" si="0">ROUND(D6/ D7, 2)</f>
        <v>0.05</v>
      </c>
      <c r="E8" s="27">
        <f t="shared" si="0"/>
        <v>0.02</v>
      </c>
      <c r="F8" s="27">
        <f t="shared" si="0"/>
        <v>0.06</v>
      </c>
      <c r="G8" s="27">
        <f t="shared" si="0"/>
        <v>0.15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8285E-601F-400D-84C1-51855E7610BF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3" width="13.140625" bestFit="1" customWidth="1"/>
    <col min="4" max="5" width="14.85546875" bestFit="1" customWidth="1"/>
    <col min="6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25521.720000000005</v>
      </c>
      <c r="D6" s="16">
        <f>'Income Statement'!D19</f>
        <v>25291.929999999978</v>
      </c>
      <c r="E6" s="16">
        <f>'Income Statement'!E19</f>
        <v>15772.33</v>
      </c>
      <c r="F6" s="16">
        <f>'Income Statement'!F19</f>
        <v>29967.5</v>
      </c>
      <c r="G6" s="16">
        <f>'Income Statement'!G19</f>
        <v>58366.810000000019</v>
      </c>
    </row>
    <row r="7" spans="2:7" ht="18.75" x14ac:dyDescent="0.25">
      <c r="B7" s="15" t="str">
        <f>'Balance Sheet'!B13</f>
        <v>Total Debt</v>
      </c>
      <c r="C7" s="16">
        <f>'Balance Sheet'!C13</f>
        <v>99243.96</v>
      </c>
      <c r="D7" s="16">
        <f>'Balance Sheet'!D13</f>
        <v>103604.7</v>
      </c>
      <c r="E7" s="16">
        <f>'Balance Sheet'!E13</f>
        <v>122550.83</v>
      </c>
      <c r="F7" s="16">
        <f>'Balance Sheet'!F13</f>
        <v>89908.4</v>
      </c>
      <c r="G7" s="16">
        <f>'Balance Sheet'!G13</f>
        <v>81154.459999999992</v>
      </c>
    </row>
    <row r="8" spans="2:7" ht="18.75" x14ac:dyDescent="0.25">
      <c r="B8" s="15" t="str">
        <f>'Balance Sheet'!B9</f>
        <v>Net Worth</v>
      </c>
      <c r="C8" s="16">
        <f>'Balance Sheet'!C9</f>
        <v>58595.6</v>
      </c>
      <c r="D8" s="16">
        <f>'Balance Sheet'!D9</f>
        <v>68018.64999999998</v>
      </c>
      <c r="E8" s="16">
        <f>'Balance Sheet'!E9</f>
        <v>72048.059999999969</v>
      </c>
      <c r="F8" s="16">
        <f>'Balance Sheet'!F9</f>
        <v>86619.699999999968</v>
      </c>
      <c r="G8" s="16">
        <f>'Balance Sheet'!G9</f>
        <v>127932.14</v>
      </c>
    </row>
    <row r="9" spans="2:7" ht="18.75" x14ac:dyDescent="0.25">
      <c r="B9" s="17" t="s">
        <v>163</v>
      </c>
      <c r="C9" s="27">
        <f>ROUND(C6/ (C7+ C7), 2)</f>
        <v>0.13</v>
      </c>
      <c r="D9" s="27">
        <f t="shared" ref="D9:G9" si="0">ROUND(D6/ (D7+ D7), 2)</f>
        <v>0.12</v>
      </c>
      <c r="E9" s="27">
        <f t="shared" si="0"/>
        <v>0.06</v>
      </c>
      <c r="F9" s="27">
        <f t="shared" si="0"/>
        <v>0.17</v>
      </c>
      <c r="G9" s="27">
        <f t="shared" si="0"/>
        <v>0.36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2665F-5C51-4862-9007-4186D990907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26213.660000000003</v>
      </c>
      <c r="D6" s="16">
        <f>'Income Statement'!D27</f>
        <v>10792.429999999978</v>
      </c>
      <c r="E6" s="16">
        <f>'Income Statement'!E27</f>
        <v>5814.93</v>
      </c>
      <c r="F6" s="16">
        <f>'Income Statement'!F27</f>
        <v>15663.730000000001</v>
      </c>
      <c r="G6" s="16">
        <f>'Income Statement'!G27</f>
        <v>44293.000000000029</v>
      </c>
    </row>
    <row r="7" spans="2:7" ht="18.75" x14ac:dyDescent="0.25">
      <c r="B7" s="15" t="str">
        <f>'Balance Sheet'!B9</f>
        <v>Net Worth</v>
      </c>
      <c r="C7" s="16">
        <f>'Balance Sheet'!C9</f>
        <v>58595.6</v>
      </c>
      <c r="D7" s="16">
        <f>'Balance Sheet'!D9</f>
        <v>68018.64999999998</v>
      </c>
      <c r="E7" s="16">
        <f>'Balance Sheet'!E9</f>
        <v>72048.059999999969</v>
      </c>
      <c r="F7" s="16">
        <f>'Balance Sheet'!F9</f>
        <v>86619.699999999968</v>
      </c>
      <c r="G7" s="16">
        <f>'Balance Sheet'!G9</f>
        <v>127932.14</v>
      </c>
    </row>
    <row r="8" spans="2:7" ht="18.75" x14ac:dyDescent="0.25">
      <c r="B8" s="17" t="s">
        <v>165</v>
      </c>
      <c r="C8" s="27">
        <f>ROUND(C6/ (C7+ C7), 2)</f>
        <v>0.22</v>
      </c>
      <c r="D8" s="27">
        <f t="shared" ref="D8:G8" si="0">ROUND(D6/ (D7+ D7), 2)</f>
        <v>0.08</v>
      </c>
      <c r="E8" s="27">
        <f t="shared" si="0"/>
        <v>0.04</v>
      </c>
      <c r="F8" s="27">
        <f t="shared" si="0"/>
        <v>0.09</v>
      </c>
      <c r="G8" s="27">
        <f t="shared" si="0"/>
        <v>0.17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BAE19-649C-4EDD-BA60-67629744789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3" width="13.140625" bestFit="1" customWidth="1"/>
    <col min="4" max="5" width="14.85546875" bestFit="1" customWidth="1"/>
    <col min="6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99243.96</v>
      </c>
      <c r="D6" s="16">
        <f>'Balance Sheet'!D13</f>
        <v>103604.7</v>
      </c>
      <c r="E6" s="16">
        <f>'Balance Sheet'!E13</f>
        <v>122550.83</v>
      </c>
      <c r="F6" s="16">
        <f>'Balance Sheet'!F13</f>
        <v>89908.4</v>
      </c>
      <c r="G6" s="16">
        <f>'Balance Sheet'!G13</f>
        <v>81154.459999999992</v>
      </c>
    </row>
    <row r="7" spans="2:7" ht="18.75" x14ac:dyDescent="0.25">
      <c r="B7" s="15" t="str">
        <f>'Balance Sheet'!B9</f>
        <v>Net Worth</v>
      </c>
      <c r="C7" s="16">
        <f>'Balance Sheet'!C9</f>
        <v>58595.6</v>
      </c>
      <c r="D7" s="16">
        <f>'Balance Sheet'!D9</f>
        <v>68018.64999999998</v>
      </c>
      <c r="E7" s="16">
        <f>'Balance Sheet'!E9</f>
        <v>72048.059999999969</v>
      </c>
      <c r="F7" s="16">
        <f>'Balance Sheet'!F9</f>
        <v>86619.699999999968</v>
      </c>
      <c r="G7" s="16">
        <f>'Balance Sheet'!G9</f>
        <v>127932.14</v>
      </c>
    </row>
    <row r="8" spans="2:7" ht="18.75" x14ac:dyDescent="0.25">
      <c r="B8" s="17" t="s">
        <v>167</v>
      </c>
      <c r="C8" s="17">
        <f>ROUND(C6/ C7, 2)</f>
        <v>1.69</v>
      </c>
      <c r="D8" s="17">
        <f t="shared" ref="D8:G8" si="0">ROUND(D6/ D7, 2)</f>
        <v>1.52</v>
      </c>
      <c r="E8" s="17">
        <f t="shared" si="0"/>
        <v>1.7</v>
      </c>
      <c r="F8" s="17">
        <f t="shared" si="0"/>
        <v>1.04</v>
      </c>
      <c r="G8" s="17">
        <f t="shared" si="0"/>
        <v>0.63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79FC3-D5CF-4AAC-A77E-99672B6E9E5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79139.170000000013</v>
      </c>
      <c r="D6" s="16">
        <f>'Balance Sheet'!D39</f>
        <v>95877.819999999978</v>
      </c>
      <c r="E6" s="16">
        <f>'Balance Sheet'!E39</f>
        <v>109297.33999999997</v>
      </c>
      <c r="F6" s="16">
        <f>'Balance Sheet'!F39</f>
        <v>122910.11999999997</v>
      </c>
      <c r="G6" s="16">
        <f>'Balance Sheet'!G39</f>
        <v>169974.61</v>
      </c>
    </row>
    <row r="7" spans="2:7" ht="18.75" x14ac:dyDescent="0.25">
      <c r="B7" s="15" t="str">
        <f>'Balance Sheet'!B19</f>
        <v>Total Current Liabilities</v>
      </c>
      <c r="C7" s="16">
        <f>'Balance Sheet'!C19</f>
        <v>48706.84</v>
      </c>
      <c r="D7" s="16">
        <f>'Balance Sheet'!D19</f>
        <v>58688.149999999994</v>
      </c>
      <c r="E7" s="16">
        <f>'Balance Sheet'!E19</f>
        <v>51705.72</v>
      </c>
      <c r="F7" s="16">
        <f>'Balance Sheet'!F19</f>
        <v>78070.359999999986</v>
      </c>
      <c r="G7" s="16">
        <f>'Balance Sheet'!G19</f>
        <v>87192.68</v>
      </c>
    </row>
    <row r="8" spans="2:7" ht="18.75" x14ac:dyDescent="0.25">
      <c r="B8" s="17" t="s">
        <v>169</v>
      </c>
      <c r="C8" s="17">
        <f>ROUND(C6/ C7, 2)</f>
        <v>1.62</v>
      </c>
      <c r="D8" s="17">
        <f t="shared" ref="D8:G8" si="0">ROUND(D6/ D7, 2)</f>
        <v>1.63</v>
      </c>
      <c r="E8" s="17">
        <f t="shared" si="0"/>
        <v>2.11</v>
      </c>
      <c r="F8" s="17">
        <f t="shared" si="0"/>
        <v>1.57</v>
      </c>
      <c r="G8" s="17">
        <f t="shared" si="0"/>
        <v>1.95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C6115-C078-4EBF-B5C8-61627317D427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79139.170000000013</v>
      </c>
      <c r="D6" s="16">
        <f>'Balance Sheet'!D39</f>
        <v>95877.819999999978</v>
      </c>
      <c r="E6" s="16">
        <f>'Balance Sheet'!E39</f>
        <v>109297.33999999997</v>
      </c>
      <c r="F6" s="16">
        <f>'Balance Sheet'!F39</f>
        <v>122910.11999999997</v>
      </c>
      <c r="G6" s="16">
        <f>'Balance Sheet'!G39</f>
        <v>169974.61</v>
      </c>
    </row>
    <row r="7" spans="2:7" ht="18.75" x14ac:dyDescent="0.25">
      <c r="B7" s="15" t="str">
        <f>'Balance Sheet'!B36</f>
        <v>Inventories</v>
      </c>
      <c r="C7" s="16">
        <f>'Balance Sheet'!C36</f>
        <v>28331.040000000001</v>
      </c>
      <c r="D7" s="16">
        <f>'Balance Sheet'!D36</f>
        <v>31656.1</v>
      </c>
      <c r="E7" s="16">
        <f>'Balance Sheet'!E36</f>
        <v>31068.720000000001</v>
      </c>
      <c r="F7" s="16">
        <f>'Balance Sheet'!F36</f>
        <v>33276.379999999997</v>
      </c>
      <c r="G7" s="16">
        <f>'Balance Sheet'!G36</f>
        <v>48824.39</v>
      </c>
    </row>
    <row r="8" spans="2:7" ht="18.75" x14ac:dyDescent="0.25">
      <c r="B8" s="15" t="str">
        <f>'Balance Sheet'!B19</f>
        <v>Total Current Liabilities</v>
      </c>
      <c r="C8" s="16">
        <f>'Balance Sheet'!C19</f>
        <v>48706.84</v>
      </c>
      <c r="D8" s="16">
        <f>'Balance Sheet'!D19</f>
        <v>58688.149999999994</v>
      </c>
      <c r="E8" s="16">
        <f>'Balance Sheet'!E19</f>
        <v>51705.72</v>
      </c>
      <c r="F8" s="16">
        <f>'Balance Sheet'!F19</f>
        <v>78070.359999999986</v>
      </c>
      <c r="G8" s="16">
        <f>'Balance Sheet'!G19</f>
        <v>87192.68</v>
      </c>
    </row>
    <row r="9" spans="2:7" ht="18.75" x14ac:dyDescent="0.25">
      <c r="B9" s="17" t="s">
        <v>171</v>
      </c>
      <c r="C9" s="17">
        <f>ROUND((C6-C7)/ C8, 2)</f>
        <v>1.04</v>
      </c>
      <c r="D9" s="17">
        <f t="shared" ref="D9:G9" si="0">ROUND((D6-D7)/ D8, 2)</f>
        <v>1.0900000000000001</v>
      </c>
      <c r="E9" s="17">
        <f t="shared" si="0"/>
        <v>1.51</v>
      </c>
      <c r="F9" s="17">
        <f t="shared" si="0"/>
        <v>1.1499999999999999</v>
      </c>
      <c r="G9" s="17">
        <f t="shared" si="0"/>
        <v>1.39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84390-DC09-44DA-8607-8C2F83F1C12A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131741.49</v>
      </c>
      <c r="D5" s="2">
        <v>154691.84</v>
      </c>
      <c r="E5" s="2">
        <v>146106</v>
      </c>
      <c r="F5" s="2">
        <v>154719.28</v>
      </c>
      <c r="G5" s="2">
        <v>242326.87</v>
      </c>
      <c r="H5" t="s">
        <v>1</v>
      </c>
    </row>
    <row r="6" spans="1:8" x14ac:dyDescent="0.25">
      <c r="A6" t="s">
        <v>98</v>
      </c>
      <c r="B6" t="s">
        <v>98</v>
      </c>
      <c r="C6">
        <v>860.62</v>
      </c>
      <c r="D6">
        <v>0.21</v>
      </c>
      <c r="E6">
        <v>0</v>
      </c>
      <c r="F6">
        <v>0</v>
      </c>
      <c r="G6">
        <v>0</v>
      </c>
      <c r="H6" t="s">
        <v>1</v>
      </c>
    </row>
    <row r="7" spans="1:8" x14ac:dyDescent="0.25">
      <c r="B7" t="s">
        <v>57</v>
      </c>
      <c r="C7" s="2">
        <v>130880.87</v>
      </c>
      <c r="D7" s="2">
        <v>154691.63</v>
      </c>
      <c r="E7" s="2">
        <v>146106</v>
      </c>
      <c r="F7" s="2">
        <v>154719.28</v>
      </c>
      <c r="G7" s="2">
        <v>242326.87</v>
      </c>
      <c r="H7" t="s">
        <v>1</v>
      </c>
    </row>
    <row r="8" spans="1:8" x14ac:dyDescent="0.25">
      <c r="B8" t="s">
        <v>58</v>
      </c>
      <c r="C8" s="2">
        <v>132155.75</v>
      </c>
      <c r="D8" s="2">
        <v>157668.78</v>
      </c>
      <c r="E8" s="2">
        <v>148971.71</v>
      </c>
      <c r="F8" s="2">
        <v>156477.4</v>
      </c>
      <c r="G8" s="2">
        <v>243959.17</v>
      </c>
      <c r="H8" t="s">
        <v>1</v>
      </c>
    </row>
    <row r="9" spans="1:8" x14ac:dyDescent="0.25">
      <c r="A9" t="s">
        <v>59</v>
      </c>
      <c r="B9" t="s">
        <v>59</v>
      </c>
      <c r="C9">
        <v>909.45</v>
      </c>
      <c r="D9">
        <v>1420.58</v>
      </c>
      <c r="E9" s="2">
        <v>1821.99</v>
      </c>
      <c r="F9" s="2">
        <v>895.6</v>
      </c>
      <c r="G9">
        <v>784.89</v>
      </c>
      <c r="H9" t="s">
        <v>1</v>
      </c>
    </row>
    <row r="10" spans="1:8" x14ac:dyDescent="0.25">
      <c r="B10" t="s">
        <v>60</v>
      </c>
      <c r="C10" s="2">
        <v>133065.20000000001</v>
      </c>
      <c r="D10" s="2">
        <v>159089.35999999999</v>
      </c>
      <c r="E10" s="2">
        <v>150793.70000000001</v>
      </c>
      <c r="F10" s="2">
        <v>157373</v>
      </c>
      <c r="G10" s="2">
        <v>244744.06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 s="2">
        <v>41205.43</v>
      </c>
      <c r="D12" s="2">
        <v>54309.07</v>
      </c>
      <c r="E12" s="2">
        <v>53592.83</v>
      </c>
      <c r="F12" s="2">
        <v>45292.49</v>
      </c>
      <c r="G12" s="2">
        <v>75763.7</v>
      </c>
      <c r="H12" t="s">
        <v>1</v>
      </c>
    </row>
    <row r="13" spans="1:8" x14ac:dyDescent="0.25">
      <c r="B13" t="s">
        <v>63</v>
      </c>
      <c r="C13" s="2">
        <v>11002.82</v>
      </c>
      <c r="D13" s="2">
        <v>6567.98</v>
      </c>
      <c r="E13" s="2">
        <v>10504.2</v>
      </c>
      <c r="F13" s="2">
        <v>9808.32</v>
      </c>
      <c r="G13" s="2">
        <v>15312.91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B15" t="s">
        <v>65</v>
      </c>
      <c r="C15" s="2">
        <v>-43.68</v>
      </c>
      <c r="D15" s="2">
        <v>-96.71</v>
      </c>
      <c r="E15">
        <v>-490.05</v>
      </c>
      <c r="F15">
        <v>1516.77</v>
      </c>
      <c r="G15">
        <v>-7597.87</v>
      </c>
      <c r="H15" t="s">
        <v>1</v>
      </c>
    </row>
    <row r="16" spans="1:8" x14ac:dyDescent="0.25">
      <c r="A16" t="s">
        <v>99</v>
      </c>
      <c r="B16" t="s">
        <v>66</v>
      </c>
      <c r="C16" s="2">
        <v>17606.189999999999</v>
      </c>
      <c r="D16" s="2">
        <v>18758.87</v>
      </c>
      <c r="E16" s="2">
        <v>19152.23</v>
      </c>
      <c r="F16" s="2">
        <v>19908.810000000001</v>
      </c>
      <c r="G16" s="2">
        <v>23264.1</v>
      </c>
      <c r="H16" t="s">
        <v>1</v>
      </c>
    </row>
    <row r="17" spans="1:8" x14ac:dyDescent="0.25">
      <c r="A17" t="s">
        <v>100</v>
      </c>
      <c r="B17" t="s">
        <v>67</v>
      </c>
      <c r="C17" s="2">
        <v>5501.79</v>
      </c>
      <c r="D17" s="2">
        <v>7660.1</v>
      </c>
      <c r="E17" s="2">
        <v>7580.72</v>
      </c>
      <c r="F17" s="2">
        <v>7606.71</v>
      </c>
      <c r="G17" s="2">
        <v>5462.2</v>
      </c>
      <c r="H17" t="s">
        <v>1</v>
      </c>
    </row>
    <row r="18" spans="1:8" x14ac:dyDescent="0.25">
      <c r="A18" t="s">
        <v>101</v>
      </c>
      <c r="B18" t="s">
        <v>68</v>
      </c>
      <c r="C18" s="2">
        <v>5961.66</v>
      </c>
      <c r="D18" s="2">
        <v>7341.83</v>
      </c>
      <c r="E18" s="2">
        <v>8707.67</v>
      </c>
      <c r="F18" s="2">
        <v>9233.64</v>
      </c>
      <c r="G18" s="2">
        <v>9100.8700000000008</v>
      </c>
      <c r="H18" t="s">
        <v>1</v>
      </c>
    </row>
    <row r="19" spans="1:8" x14ac:dyDescent="0.25">
      <c r="A19" t="s">
        <v>99</v>
      </c>
      <c r="B19" t="s">
        <v>69</v>
      </c>
      <c r="C19" s="2">
        <v>41495.32</v>
      </c>
      <c r="D19" s="2">
        <v>50410.51</v>
      </c>
      <c r="E19" s="2">
        <v>50702.93</v>
      </c>
      <c r="F19" s="2">
        <v>51212.44</v>
      </c>
      <c r="G19" s="2">
        <v>76616.28</v>
      </c>
      <c r="H19" t="s">
        <v>1</v>
      </c>
    </row>
    <row r="20" spans="1:8" x14ac:dyDescent="0.25">
      <c r="B20" t="s">
        <v>70</v>
      </c>
      <c r="C20" s="2">
        <v>121728.67</v>
      </c>
      <c r="D20" s="2">
        <v>143287.37</v>
      </c>
      <c r="E20" s="2">
        <v>147432.53</v>
      </c>
      <c r="F20" s="2">
        <v>142813.49</v>
      </c>
      <c r="G20" s="2">
        <v>195032.29</v>
      </c>
      <c r="H20" t="s">
        <v>1</v>
      </c>
    </row>
    <row r="21" spans="1:8" x14ac:dyDescent="0.25">
      <c r="B21" t="s">
        <v>71</v>
      </c>
      <c r="C21" s="2">
        <v>11336.53</v>
      </c>
      <c r="D21" s="2">
        <v>15801.99</v>
      </c>
      <c r="E21" s="2">
        <v>3361.17</v>
      </c>
      <c r="F21" s="2">
        <v>14559.51</v>
      </c>
      <c r="G21" s="2">
        <v>49711.77</v>
      </c>
      <c r="H21" t="s">
        <v>1</v>
      </c>
    </row>
    <row r="22" spans="1:8" x14ac:dyDescent="0.25">
      <c r="A22" t="s">
        <v>102</v>
      </c>
      <c r="B22" t="s">
        <v>72</v>
      </c>
      <c r="C22">
        <v>9599.1200000000008</v>
      </c>
      <c r="D22" s="2">
        <v>-120.97</v>
      </c>
      <c r="E22" s="2">
        <v>-4929.58</v>
      </c>
      <c r="F22">
        <v>-1043.1600000000001</v>
      </c>
      <c r="G22" s="2">
        <v>-134.06</v>
      </c>
      <c r="H22" t="s">
        <v>1</v>
      </c>
    </row>
    <row r="23" spans="1:8" x14ac:dyDescent="0.25">
      <c r="B23" t="s">
        <v>73</v>
      </c>
      <c r="C23" s="2">
        <v>20935.650000000001</v>
      </c>
      <c r="D23" s="2">
        <v>15681.02</v>
      </c>
      <c r="E23" s="2">
        <v>-1568.41</v>
      </c>
      <c r="F23" s="2">
        <v>13516.35</v>
      </c>
      <c r="G23" s="2">
        <v>49577.71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2002.77</v>
      </c>
      <c r="D25" s="2">
        <v>6728.14</v>
      </c>
      <c r="E25" s="2">
        <v>2113.63</v>
      </c>
      <c r="F25" s="2">
        <v>4288.2700000000004</v>
      </c>
      <c r="G25" s="2">
        <v>7049.88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 s="2">
        <v>1402.62</v>
      </c>
      <c r="D27" s="2">
        <v>-9.7100000000000009</v>
      </c>
      <c r="E27" s="2">
        <v>-4666.53</v>
      </c>
      <c r="F27">
        <v>1365.63</v>
      </c>
      <c r="G27" s="2">
        <v>1427.67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3405.39</v>
      </c>
      <c r="D29" s="2">
        <v>6718.43</v>
      </c>
      <c r="E29" s="2">
        <v>-2552.9</v>
      </c>
      <c r="F29" s="2">
        <v>5653.9</v>
      </c>
      <c r="G29" s="2">
        <v>8477.5499999999993</v>
      </c>
      <c r="H29" t="s">
        <v>1</v>
      </c>
    </row>
    <row r="30" spans="1:8" x14ac:dyDescent="0.25">
      <c r="B30" t="s">
        <v>80</v>
      </c>
      <c r="C30" s="2">
        <v>17530.259999999998</v>
      </c>
      <c r="D30" s="2">
        <v>8962.59</v>
      </c>
      <c r="E30">
        <v>984.49</v>
      </c>
      <c r="F30" s="2">
        <v>7862.45</v>
      </c>
      <c r="G30" s="2">
        <v>41100.160000000003</v>
      </c>
      <c r="H30" t="s">
        <v>1</v>
      </c>
    </row>
    <row r="31" spans="1:8" x14ac:dyDescent="0.25">
      <c r="B31" t="s">
        <v>81</v>
      </c>
      <c r="C31" s="2">
        <v>17530.259999999998</v>
      </c>
      <c r="D31" s="2">
        <v>8962.59</v>
      </c>
      <c r="E31">
        <v>984.49</v>
      </c>
      <c r="F31" s="2">
        <v>7862.45</v>
      </c>
      <c r="G31" s="2">
        <v>41100.160000000003</v>
      </c>
      <c r="H31" t="s">
        <v>1</v>
      </c>
    </row>
    <row r="32" spans="1:8" x14ac:dyDescent="0.25">
      <c r="B32" t="s">
        <v>82</v>
      </c>
      <c r="C32" s="2">
        <v>17588.71</v>
      </c>
      <c r="D32" s="2">
        <v>8873.6299999999992</v>
      </c>
      <c r="E32">
        <v>984.49</v>
      </c>
      <c r="F32" s="2">
        <v>7862.45</v>
      </c>
      <c r="G32" s="2">
        <v>41100.160000000003</v>
      </c>
      <c r="H32" t="s">
        <v>1</v>
      </c>
    </row>
    <row r="33" spans="1:8" x14ac:dyDescent="0.25">
      <c r="B33" t="s">
        <v>10</v>
      </c>
      <c r="C33" s="2">
        <v>-4328.4799999999996</v>
      </c>
      <c r="D33">
        <v>1120</v>
      </c>
      <c r="E33">
        <v>384.08</v>
      </c>
      <c r="F33" s="2">
        <v>-699.57</v>
      </c>
      <c r="G33" s="2">
        <v>-1595.39</v>
      </c>
      <c r="H33" t="s">
        <v>1</v>
      </c>
    </row>
    <row r="34" spans="1:8" x14ac:dyDescent="0.25">
      <c r="B34" t="s">
        <v>83</v>
      </c>
      <c r="C34" s="2">
        <v>13434.33</v>
      </c>
      <c r="D34" s="2">
        <v>10218.33</v>
      </c>
      <c r="E34" s="2">
        <v>1556.54</v>
      </c>
      <c r="F34" s="2">
        <v>7490.22</v>
      </c>
      <c r="G34" s="2">
        <v>40153.93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128</v>
      </c>
      <c r="D37">
        <v>88</v>
      </c>
      <c r="E37">
        <v>12</v>
      </c>
      <c r="F37">
        <v>64</v>
      </c>
      <c r="G37">
        <v>332</v>
      </c>
      <c r="H37" t="s">
        <v>1</v>
      </c>
    </row>
    <row r="38" spans="1:8" x14ac:dyDescent="0.25">
      <c r="B38" t="s">
        <v>86</v>
      </c>
      <c r="C38">
        <v>128</v>
      </c>
      <c r="D38">
        <v>88</v>
      </c>
      <c r="E38">
        <v>12</v>
      </c>
      <c r="F38">
        <v>64</v>
      </c>
      <c r="G38">
        <v>332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 s="2">
        <v>1236.18</v>
      </c>
      <c r="D40" s="2">
        <v>1144.76</v>
      </c>
      <c r="E40" s="2">
        <v>1488.13</v>
      </c>
      <c r="F40" s="2">
        <v>1144.75</v>
      </c>
      <c r="G40" s="2">
        <v>3004.16</v>
      </c>
      <c r="H40" t="s">
        <v>1</v>
      </c>
    </row>
    <row r="41" spans="1:8" x14ac:dyDescent="0.25">
      <c r="A41" t="s">
        <v>104</v>
      </c>
      <c r="B41" t="s">
        <v>89</v>
      </c>
      <c r="C41">
        <v>95.47</v>
      </c>
      <c r="D41">
        <v>224.61</v>
      </c>
      <c r="E41">
        <v>297.39999999999998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7FECF-C592-4D65-8BC1-861ACB55621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25521.720000000005</v>
      </c>
      <c r="D6" s="16">
        <f>'Income Statement'!D19</f>
        <v>25291.929999999978</v>
      </c>
      <c r="E6" s="16">
        <f>'Income Statement'!E19</f>
        <v>15772.33</v>
      </c>
      <c r="F6" s="16">
        <f>'Income Statement'!F19</f>
        <v>29967.5</v>
      </c>
      <c r="G6" s="16">
        <f>'Income Statement'!G19</f>
        <v>58366.810000000019</v>
      </c>
    </row>
    <row r="7" spans="2:7" ht="18.75" x14ac:dyDescent="0.25">
      <c r="B7" s="15" t="str">
        <f>'Income Statement'!B20</f>
        <v>Finance Costs</v>
      </c>
      <c r="C7" s="16">
        <f>'Income Statement'!C20</f>
        <v>5501.79</v>
      </c>
      <c r="D7" s="16">
        <f>'Income Statement'!D20</f>
        <v>7660.1</v>
      </c>
      <c r="E7" s="16">
        <f>'Income Statement'!E20</f>
        <v>7580.72</v>
      </c>
      <c r="F7" s="16">
        <f>'Income Statement'!F20</f>
        <v>7606.71</v>
      </c>
      <c r="G7" s="16">
        <f>'Income Statement'!G20</f>
        <v>5462.2</v>
      </c>
    </row>
    <row r="8" spans="2:7" ht="18.75" x14ac:dyDescent="0.25">
      <c r="B8" s="17" t="s">
        <v>173</v>
      </c>
      <c r="C8" s="17">
        <f>ROUND(C6/C7, 2)</f>
        <v>4.6399999999999997</v>
      </c>
      <c r="D8" s="17">
        <f t="shared" ref="D8:G8" si="0">ROUND(D6/D7, 2)</f>
        <v>3.3</v>
      </c>
      <c r="E8" s="17">
        <f t="shared" si="0"/>
        <v>2.08</v>
      </c>
      <c r="F8" s="17">
        <f t="shared" si="0"/>
        <v>3.94</v>
      </c>
      <c r="G8" s="17">
        <f t="shared" si="0"/>
        <v>10.69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F67EA-7106-4E40-A15A-229B0BB1F85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41205.43</v>
      </c>
      <c r="D6" s="16">
        <f>'Income Statement'!D11</f>
        <v>54309.07</v>
      </c>
      <c r="E6" s="16">
        <f>'Income Statement'!E11</f>
        <v>53592.83</v>
      </c>
      <c r="F6" s="16">
        <f>'Income Statement'!F11</f>
        <v>45292.49</v>
      </c>
      <c r="G6" s="16">
        <f>'Income Statement'!G11</f>
        <v>75763.7</v>
      </c>
    </row>
    <row r="7" spans="2:7" ht="18.75" x14ac:dyDescent="0.25">
      <c r="B7" s="15" t="str">
        <f>'Income Statement'!B7</f>
        <v>Net Sales</v>
      </c>
      <c r="C7" s="16">
        <f>'Income Statement'!C7</f>
        <v>130880.87</v>
      </c>
      <c r="D7" s="16">
        <f>'Income Statement'!D7</f>
        <v>154691.63</v>
      </c>
      <c r="E7" s="16">
        <f>'Income Statement'!E7</f>
        <v>146106</v>
      </c>
      <c r="F7" s="16">
        <f>'Income Statement'!F7</f>
        <v>154719.28</v>
      </c>
      <c r="G7" s="16">
        <f>'Income Statement'!G7</f>
        <v>242326.87</v>
      </c>
    </row>
    <row r="8" spans="2:7" ht="18.75" x14ac:dyDescent="0.25">
      <c r="B8" s="17" t="s">
        <v>175</v>
      </c>
      <c r="C8" s="17">
        <f>ROUND(C6/C7, 2)</f>
        <v>0.31</v>
      </c>
      <c r="D8" s="17">
        <f t="shared" ref="D8:G8" si="0">ROUND(D6/D7, 2)</f>
        <v>0.35</v>
      </c>
      <c r="E8" s="17">
        <f t="shared" si="0"/>
        <v>0.37</v>
      </c>
      <c r="F8" s="17">
        <f t="shared" si="0"/>
        <v>0.28999999999999998</v>
      </c>
      <c r="G8" s="17">
        <f t="shared" si="0"/>
        <v>0.31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04AE3-C88E-4401-BE63-BD2AF097D66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7937.85</v>
      </c>
      <c r="D6" s="16">
        <f>'Balance Sheet'!D38</f>
        <v>14458.089999999967</v>
      </c>
      <c r="E6" s="16">
        <f>'Balance Sheet'!E38</f>
        <v>27265.27999999997</v>
      </c>
      <c r="F6" s="16">
        <f>'Balance Sheet'!F38</f>
        <v>48669.599999999969</v>
      </c>
      <c r="G6" s="16">
        <f>'Balance Sheet'!G38</f>
        <v>68901.17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41205.43</v>
      </c>
      <c r="D7" s="16">
        <f>'Income Statement'!D11</f>
        <v>54309.07</v>
      </c>
      <c r="E7" s="16">
        <f>'Income Statement'!E11</f>
        <v>53592.83</v>
      </c>
      <c r="F7" s="16">
        <f>'Income Statement'!F11</f>
        <v>45292.49</v>
      </c>
      <c r="G7" s="16">
        <f>'Income Statement'!G11</f>
        <v>75763.7</v>
      </c>
    </row>
    <row r="8" spans="2:7" ht="18.75" x14ac:dyDescent="0.25">
      <c r="B8" s="17" t="s">
        <v>177</v>
      </c>
      <c r="C8" s="17">
        <f>ROUND(C6/C7*365, 2)</f>
        <v>70.31</v>
      </c>
      <c r="D8" s="17">
        <f t="shared" ref="D8:G8" si="0">ROUND(D6/D7*365, 2)</f>
        <v>97.17</v>
      </c>
      <c r="E8" s="17">
        <f t="shared" si="0"/>
        <v>185.69</v>
      </c>
      <c r="F8" s="17">
        <f t="shared" si="0"/>
        <v>392.22</v>
      </c>
      <c r="G8" s="17">
        <f t="shared" si="0"/>
        <v>331.94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539D0E-BEAC-4A56-9038-EF9D04D97EDB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2.28515625" bestFit="1" customWidth="1"/>
    <col min="4" max="5" width="14" bestFit="1" customWidth="1"/>
    <col min="6" max="6" width="13.140625" bestFit="1" customWidth="1"/>
    <col min="7" max="7" width="14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7937.85</v>
      </c>
      <c r="D6" s="16">
        <f>'Balance Sheet'!D38</f>
        <v>14458.089999999967</v>
      </c>
      <c r="E6" s="16">
        <f>'Balance Sheet'!E38</f>
        <v>27265.27999999997</v>
      </c>
      <c r="F6" s="16">
        <f>'Balance Sheet'!F38</f>
        <v>48669.599999999969</v>
      </c>
      <c r="G6" s="16">
        <f>'Balance Sheet'!G38</f>
        <v>68901.17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7937.85</v>
      </c>
      <c r="D8" s="17">
        <f t="shared" ref="D8:G8" si="0">ROUND(D6/D7*365, 2)</f>
        <v>14458.09</v>
      </c>
      <c r="E8" s="17">
        <f t="shared" si="0"/>
        <v>27265.279999999999</v>
      </c>
      <c r="F8" s="17">
        <f t="shared" si="0"/>
        <v>48669.599999999999</v>
      </c>
      <c r="G8" s="17">
        <f t="shared" si="0"/>
        <v>68901.17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E5448-FEAE-4190-9FF8-C0C0A33FD2E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131741.49</v>
      </c>
      <c r="D6" s="16">
        <f>'Income Statement'!D5</f>
        <v>154691.84</v>
      </c>
      <c r="E6" s="16">
        <f>'Income Statement'!E5</f>
        <v>146106</v>
      </c>
      <c r="F6" s="16">
        <f>'Income Statement'!F5</f>
        <v>154719.28</v>
      </c>
      <c r="G6" s="16">
        <f>'Income Statement'!G5</f>
        <v>242326.87</v>
      </c>
    </row>
    <row r="7" spans="2:7" ht="18.75" x14ac:dyDescent="0.25">
      <c r="B7" s="15" t="str">
        <f>'Balance Sheet'!B40</f>
        <v>Total Assets</v>
      </c>
      <c r="C7" s="16">
        <f>'Balance Sheet'!C40</f>
        <v>207482.92</v>
      </c>
      <c r="D7" s="16">
        <f>'Balance Sheet'!D40</f>
        <v>232675.96</v>
      </c>
      <c r="E7" s="16">
        <f>'Balance Sheet'!E40</f>
        <v>248891.20999999996</v>
      </c>
      <c r="F7" s="16">
        <f>'Balance Sheet'!F40</f>
        <v>257868.13999999996</v>
      </c>
      <c r="G7" s="16">
        <f>'Balance Sheet'!G40</f>
        <v>298934.69999999995</v>
      </c>
    </row>
    <row r="8" spans="2:7" ht="18.75" x14ac:dyDescent="0.25">
      <c r="B8" s="17" t="s">
        <v>182</v>
      </c>
      <c r="C8" s="17">
        <f>ROUND(C6/C7, 2)</f>
        <v>0.63</v>
      </c>
      <c r="D8" s="17">
        <f t="shared" ref="D8:G8" si="0">ROUND(D6/D7, 2)</f>
        <v>0.66</v>
      </c>
      <c r="E8" s="17">
        <f t="shared" si="0"/>
        <v>0.59</v>
      </c>
      <c r="F8" s="17">
        <f t="shared" si="0"/>
        <v>0.6</v>
      </c>
      <c r="G8" s="17">
        <f t="shared" si="0"/>
        <v>0.81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55A97-977D-4FE3-A5F2-748A37B9ECE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131741.49</v>
      </c>
      <c r="D6" s="16">
        <f>'Income Statement'!D5</f>
        <v>154691.84</v>
      </c>
      <c r="E6" s="16">
        <f>'Income Statement'!E5</f>
        <v>146106</v>
      </c>
      <c r="F6" s="16">
        <f>'Income Statement'!F5</f>
        <v>154719.28</v>
      </c>
      <c r="G6" s="16">
        <f>'Income Statement'!G5</f>
        <v>242326.87</v>
      </c>
    </row>
    <row r="7" spans="2:7" ht="18.75" x14ac:dyDescent="0.25">
      <c r="B7" s="15" t="str">
        <f>'Balance Sheet'!B36</f>
        <v>Inventories</v>
      </c>
      <c r="C7" s="16">
        <f>'Balance Sheet'!C36</f>
        <v>28331.040000000001</v>
      </c>
      <c r="D7" s="16">
        <f>'Balance Sheet'!D36</f>
        <v>31656.1</v>
      </c>
      <c r="E7" s="16">
        <f>'Balance Sheet'!E36</f>
        <v>31068.720000000001</v>
      </c>
      <c r="F7" s="16">
        <f>'Balance Sheet'!F36</f>
        <v>33276.379999999997</v>
      </c>
      <c r="G7" s="16">
        <f>'Balance Sheet'!G36</f>
        <v>48824.39</v>
      </c>
    </row>
    <row r="8" spans="2:7" ht="18.75" x14ac:dyDescent="0.25">
      <c r="B8" s="17" t="s">
        <v>184</v>
      </c>
      <c r="C8" s="17">
        <f>ROUND(C6/C7, 2)</f>
        <v>4.6500000000000004</v>
      </c>
      <c r="D8" s="17">
        <f t="shared" ref="D8:G8" si="0">ROUND(D6/D7, 2)</f>
        <v>4.8899999999999997</v>
      </c>
      <c r="E8" s="17">
        <f t="shared" si="0"/>
        <v>4.7</v>
      </c>
      <c r="F8" s="17">
        <f t="shared" si="0"/>
        <v>4.6500000000000004</v>
      </c>
      <c r="G8" s="17">
        <f t="shared" si="0"/>
        <v>4.96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B92A84-4FEB-4D15-AD68-F44EE3ACFCE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131741.49</v>
      </c>
      <c r="D6" s="16">
        <f>'Income Statement'!D5</f>
        <v>154691.84</v>
      </c>
      <c r="E6" s="16">
        <f>'Income Statement'!E5</f>
        <v>146106</v>
      </c>
      <c r="F6" s="16">
        <f>'Income Statement'!F5</f>
        <v>154719.28</v>
      </c>
      <c r="G6" s="16">
        <f>'Income Statement'!G5</f>
        <v>242326.87</v>
      </c>
    </row>
    <row r="7" spans="2:7" ht="18.75" x14ac:dyDescent="0.25">
      <c r="B7" s="15" t="str">
        <f>'Balance Sheet'!B37</f>
        <v>Trade Receivables</v>
      </c>
      <c r="C7" s="16">
        <f>'Balance Sheet'!C37</f>
        <v>12415.52</v>
      </c>
      <c r="D7" s="16">
        <f>'Balance Sheet'!D37</f>
        <v>11811</v>
      </c>
      <c r="E7" s="16">
        <f>'Balance Sheet'!E37</f>
        <v>7884.91</v>
      </c>
      <c r="F7" s="16">
        <f>'Balance Sheet'!F37</f>
        <v>9539.84</v>
      </c>
      <c r="G7" s="16">
        <f>'Balance Sheet'!G37</f>
        <v>12246.43</v>
      </c>
    </row>
    <row r="8" spans="2:7" ht="18.75" x14ac:dyDescent="0.25">
      <c r="B8" s="17" t="s">
        <v>186</v>
      </c>
      <c r="C8" s="17">
        <f>ROUND(C6/C7, 2)</f>
        <v>10.61</v>
      </c>
      <c r="D8" s="17">
        <f t="shared" ref="D8:G8" si="0">ROUND(D6/D7, 2)</f>
        <v>13.1</v>
      </c>
      <c r="E8" s="17">
        <f t="shared" si="0"/>
        <v>18.53</v>
      </c>
      <c r="F8" s="17">
        <f t="shared" si="0"/>
        <v>16.22</v>
      </c>
      <c r="G8" s="17">
        <f t="shared" si="0"/>
        <v>19.79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98985-405D-4427-A98B-6D6E2DBF877F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131741.49</v>
      </c>
      <c r="D6" s="16">
        <f>'Income Statement'!D5</f>
        <v>154691.84</v>
      </c>
      <c r="E6" s="16">
        <f>'Income Statement'!E5</f>
        <v>146106</v>
      </c>
      <c r="F6" s="16">
        <f>'Income Statement'!F5</f>
        <v>154719.28</v>
      </c>
      <c r="G6" s="16">
        <f>'Income Statement'!G5</f>
        <v>242326.87</v>
      </c>
    </row>
    <row r="7" spans="2:7" ht="18.75" x14ac:dyDescent="0.25">
      <c r="B7" s="15" t="str">
        <f>'Balance Sheet'!B23</f>
        <v>Tangible Assets</v>
      </c>
      <c r="C7" s="16">
        <f>'Balance Sheet'!C23</f>
        <v>90322.78</v>
      </c>
      <c r="D7" s="16">
        <f>'Balance Sheet'!D23</f>
        <v>118450.97</v>
      </c>
      <c r="E7" s="16">
        <f>'Balance Sheet'!E23</f>
        <v>128053.75999999999</v>
      </c>
      <c r="F7" s="16">
        <f>'Balance Sheet'!F23</f>
        <v>128454.45</v>
      </c>
      <c r="G7" s="16">
        <f>'Balance Sheet'!G23</f>
        <v>124504.16</v>
      </c>
    </row>
    <row r="8" spans="2:7" ht="18.75" x14ac:dyDescent="0.25">
      <c r="B8" s="17" t="s">
        <v>188</v>
      </c>
      <c r="C8" s="17">
        <f>ROUND(C6/C7, 2)</f>
        <v>1.46</v>
      </c>
      <c r="D8" s="17">
        <f t="shared" ref="D8:G8" si="0">ROUND(D6/D7, 2)</f>
        <v>1.31</v>
      </c>
      <c r="E8" s="17">
        <f t="shared" si="0"/>
        <v>1.1399999999999999</v>
      </c>
      <c r="F8" s="17">
        <f t="shared" si="0"/>
        <v>1.2</v>
      </c>
      <c r="G8" s="17">
        <f t="shared" si="0"/>
        <v>1.95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F356A4-3F4A-428B-91BD-6541F148A0A1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41205.43</v>
      </c>
      <c r="D6" s="16">
        <f>'Income Statement'!D11</f>
        <v>54309.07</v>
      </c>
      <c r="E6" s="16">
        <f>'Income Statement'!E11</f>
        <v>53592.83</v>
      </c>
      <c r="F6" s="16">
        <f>'Income Statement'!F11</f>
        <v>45292.49</v>
      </c>
      <c r="G6" s="16">
        <f>'Income Statement'!G11</f>
        <v>75763.7</v>
      </c>
    </row>
    <row r="7" spans="2:7" ht="18.75" x14ac:dyDescent="0.25">
      <c r="B7" s="15" t="str">
        <f>'Balance Sheet'!B19</f>
        <v>Total Current Liabilities</v>
      </c>
      <c r="C7" s="16">
        <f>'Balance Sheet'!C19</f>
        <v>48706.84</v>
      </c>
      <c r="D7" s="16">
        <f>'Balance Sheet'!D19</f>
        <v>58688.149999999994</v>
      </c>
      <c r="E7" s="16">
        <f>'Balance Sheet'!E19</f>
        <v>51705.72</v>
      </c>
      <c r="F7" s="16">
        <f>'Balance Sheet'!F19</f>
        <v>78070.359999999986</v>
      </c>
      <c r="G7" s="16">
        <f>'Balance Sheet'!G19</f>
        <v>87192.68</v>
      </c>
    </row>
    <row r="8" spans="2:7" ht="18.75" x14ac:dyDescent="0.25">
      <c r="B8" s="17" t="s">
        <v>190</v>
      </c>
      <c r="C8" s="17">
        <f>ROUND(C6/C7, 2)</f>
        <v>0.85</v>
      </c>
      <c r="D8" s="17">
        <f t="shared" ref="D8:G8" si="0">ROUND(D6/D7, 2)</f>
        <v>0.93</v>
      </c>
      <c r="E8" s="17">
        <f t="shared" si="0"/>
        <v>1.04</v>
      </c>
      <c r="F8" s="17">
        <f t="shared" si="0"/>
        <v>0.57999999999999996</v>
      </c>
      <c r="G8" s="17">
        <f t="shared" si="0"/>
        <v>0.87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DE926-1AB7-41F9-9A71-9335A51775B1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131741.49</v>
      </c>
      <c r="D6" s="16">
        <f>'Income Statement'!D5</f>
        <v>154691.84</v>
      </c>
      <c r="E6" s="16">
        <f>'Income Statement'!E5</f>
        <v>146106</v>
      </c>
      <c r="F6" s="16">
        <f>'Income Statement'!F5</f>
        <v>154719.28</v>
      </c>
      <c r="G6" s="16">
        <f>'Income Statement'!G5</f>
        <v>242326.87</v>
      </c>
    </row>
    <row r="7" spans="2:7" ht="18.75" x14ac:dyDescent="0.25">
      <c r="B7" s="15" t="str">
        <f>'Balance Sheet'!B36</f>
        <v>Inventories</v>
      </c>
      <c r="C7" s="16">
        <f>'Balance Sheet'!C36</f>
        <v>28331.040000000001</v>
      </c>
      <c r="D7" s="16">
        <f>'Balance Sheet'!D36</f>
        <v>31656.1</v>
      </c>
      <c r="E7" s="16">
        <f>'Balance Sheet'!E36</f>
        <v>31068.720000000001</v>
      </c>
      <c r="F7" s="16">
        <f>'Balance Sheet'!F36</f>
        <v>33276.379999999997</v>
      </c>
      <c r="G7" s="16">
        <f>'Balance Sheet'!G36</f>
        <v>48824.39</v>
      </c>
    </row>
    <row r="8" spans="2:7" ht="18.75" x14ac:dyDescent="0.25">
      <c r="B8" s="17" t="s">
        <v>192</v>
      </c>
      <c r="C8" s="17">
        <f>ROUND(365/C6*C7, 2)</f>
        <v>78.489999999999995</v>
      </c>
      <c r="D8" s="17">
        <f t="shared" ref="D8:G8" si="0">ROUND(365/D6*D7, 2)</f>
        <v>74.69</v>
      </c>
      <c r="E8" s="17">
        <f t="shared" si="0"/>
        <v>77.62</v>
      </c>
      <c r="F8" s="17">
        <f t="shared" si="0"/>
        <v>78.5</v>
      </c>
      <c r="G8" s="17">
        <f t="shared" si="0"/>
        <v>73.540000000000006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3B7E2-5C73-4DA2-B178-E5B8039AAFAF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3" width="18.85546875" bestFit="1" customWidth="1"/>
    <col min="4" max="5" width="17.140625" bestFit="1" customWidth="1"/>
    <col min="6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131741.49</v>
      </c>
      <c r="D5" s="5">
        <v>154691.84</v>
      </c>
      <c r="E5" s="5">
        <v>146106</v>
      </c>
      <c r="F5" s="5">
        <v>154719.28</v>
      </c>
      <c r="G5" s="5">
        <v>242326.87</v>
      </c>
    </row>
    <row r="6" spans="2:7" ht="18.75" x14ac:dyDescent="0.25">
      <c r="B6" s="8" t="s">
        <v>98</v>
      </c>
      <c r="C6" s="4">
        <v>860.62</v>
      </c>
      <c r="D6" s="4">
        <v>0.21</v>
      </c>
      <c r="E6" s="4">
        <v>0</v>
      </c>
      <c r="F6" s="4">
        <v>0</v>
      </c>
      <c r="G6" s="4">
        <v>0</v>
      </c>
    </row>
    <row r="7" spans="2:7" ht="18.75" x14ac:dyDescent="0.25">
      <c r="B7" s="9" t="s">
        <v>105</v>
      </c>
      <c r="C7" s="7">
        <f>C5 - C6</f>
        <v>130880.87</v>
      </c>
      <c r="D7" s="7">
        <f t="shared" ref="D7:G7" si="0">D5 - D6</f>
        <v>154691.63</v>
      </c>
      <c r="E7" s="7">
        <f t="shared" si="0"/>
        <v>146106</v>
      </c>
      <c r="F7" s="7">
        <f t="shared" si="0"/>
        <v>154719.28</v>
      </c>
      <c r="G7" s="7">
        <f t="shared" si="0"/>
        <v>242326.87</v>
      </c>
    </row>
    <row r="8" spans="2:7" ht="18.75" x14ac:dyDescent="0.25">
      <c r="B8" s="8" t="s">
        <v>59</v>
      </c>
      <c r="C8" s="4">
        <v>909.45</v>
      </c>
      <c r="D8" s="4">
        <v>1420.58</v>
      </c>
      <c r="E8" s="5">
        <v>1821.99</v>
      </c>
      <c r="F8" s="5">
        <v>895.6</v>
      </c>
      <c r="G8" s="4">
        <v>784.89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131790.32</v>
      </c>
      <c r="D10" s="7">
        <f t="shared" ref="D10:G10" si="1">SUM(D7:D9)</f>
        <v>156112.21</v>
      </c>
      <c r="E10" s="7">
        <f t="shared" si="1"/>
        <v>147927.99</v>
      </c>
      <c r="F10" s="7">
        <f t="shared" si="1"/>
        <v>155614.88</v>
      </c>
      <c r="G10" s="7">
        <f t="shared" si="1"/>
        <v>243111.76</v>
      </c>
    </row>
    <row r="11" spans="2:7" ht="18.75" x14ac:dyDescent="0.25">
      <c r="B11" s="8" t="s">
        <v>62</v>
      </c>
      <c r="C11" s="5">
        <v>41205.43</v>
      </c>
      <c r="D11" s="5">
        <v>54309.07</v>
      </c>
      <c r="E11" s="5">
        <v>53592.83</v>
      </c>
      <c r="F11" s="5">
        <v>45292.49</v>
      </c>
      <c r="G11" s="5">
        <v>75763.7</v>
      </c>
    </row>
    <row r="12" spans="2:7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7" ht="18.75" x14ac:dyDescent="0.25">
      <c r="B13" s="8" t="s">
        <v>66</v>
      </c>
      <c r="C13" s="5">
        <v>17606.189999999999</v>
      </c>
      <c r="D13" s="5">
        <v>18758.87</v>
      </c>
      <c r="E13" s="5">
        <v>19152.23</v>
      </c>
      <c r="F13" s="5">
        <v>19908.810000000001</v>
      </c>
      <c r="G13" s="5">
        <v>23264.1</v>
      </c>
    </row>
    <row r="14" spans="2:7" ht="18.75" x14ac:dyDescent="0.25">
      <c r="B14" s="8" t="s">
        <v>69</v>
      </c>
      <c r="C14" s="5">
        <v>41495.32</v>
      </c>
      <c r="D14" s="5">
        <v>50410.51</v>
      </c>
      <c r="E14" s="5">
        <v>50702.93</v>
      </c>
      <c r="F14" s="5">
        <v>51212.44</v>
      </c>
      <c r="G14" s="5">
        <v>76616.28</v>
      </c>
    </row>
    <row r="15" spans="2:7" ht="18.75" x14ac:dyDescent="0.25">
      <c r="B15" s="9" t="s">
        <v>108</v>
      </c>
      <c r="C15" s="7">
        <f>C11+C12+C13+C14</f>
        <v>100306.94</v>
      </c>
      <c r="D15" s="7">
        <f t="shared" ref="D15:G15" si="2">D11+D12+D13+D14</f>
        <v>123478.45000000001</v>
      </c>
      <c r="E15" s="7">
        <f t="shared" si="2"/>
        <v>123447.98999999999</v>
      </c>
      <c r="F15" s="7">
        <f t="shared" si="2"/>
        <v>116413.74</v>
      </c>
      <c r="G15" s="7">
        <f t="shared" si="2"/>
        <v>175644.08</v>
      </c>
    </row>
    <row r="16" spans="2:7" ht="18.75" x14ac:dyDescent="0.25">
      <c r="B16" s="9" t="s">
        <v>109</v>
      </c>
      <c r="C16" s="7">
        <f xml:space="preserve"> C10-C15-C8</f>
        <v>30573.930000000004</v>
      </c>
      <c r="D16" s="7">
        <f t="shared" ref="D16:G16" si="3" xml:space="preserve"> D10-D15-D8</f>
        <v>31213.179999999978</v>
      </c>
      <c r="E16" s="7">
        <f t="shared" si="3"/>
        <v>22658.01</v>
      </c>
      <c r="F16" s="7">
        <f t="shared" si="3"/>
        <v>38305.54</v>
      </c>
      <c r="G16" s="7">
        <f t="shared" si="3"/>
        <v>66682.790000000023</v>
      </c>
    </row>
    <row r="17" spans="2:7" ht="18.75" x14ac:dyDescent="0.25">
      <c r="B17" s="9" t="s">
        <v>110</v>
      </c>
      <c r="C17" s="7">
        <f xml:space="preserve"> C16+C8</f>
        <v>31483.380000000005</v>
      </c>
      <c r="D17" s="7">
        <f t="shared" ref="D17:G17" si="4" xml:space="preserve"> D16+D8</f>
        <v>32633.75999999998</v>
      </c>
      <c r="E17" s="7">
        <f t="shared" si="4"/>
        <v>24480</v>
      </c>
      <c r="F17" s="7">
        <f t="shared" si="4"/>
        <v>39201.14</v>
      </c>
      <c r="G17" s="7">
        <f t="shared" si="4"/>
        <v>67467.680000000022</v>
      </c>
    </row>
    <row r="18" spans="2:7" ht="18.75" x14ac:dyDescent="0.25">
      <c r="B18" s="8" t="s">
        <v>68</v>
      </c>
      <c r="C18" s="5">
        <v>5961.66</v>
      </c>
      <c r="D18" s="5">
        <v>7341.83</v>
      </c>
      <c r="E18" s="5">
        <v>8707.67</v>
      </c>
      <c r="F18" s="5">
        <v>9233.64</v>
      </c>
      <c r="G18" s="5">
        <v>9100.8700000000008</v>
      </c>
    </row>
    <row r="19" spans="2:7" ht="18.75" x14ac:dyDescent="0.25">
      <c r="B19" s="9" t="s">
        <v>111</v>
      </c>
      <c r="C19" s="7">
        <f xml:space="preserve"> C17-C18</f>
        <v>25521.720000000005</v>
      </c>
      <c r="D19" s="7">
        <f t="shared" ref="D19:G19" si="5" xml:space="preserve"> D17-D18</f>
        <v>25291.929999999978</v>
      </c>
      <c r="E19" s="7">
        <f t="shared" si="5"/>
        <v>15772.33</v>
      </c>
      <c r="F19" s="7">
        <f t="shared" si="5"/>
        <v>29967.5</v>
      </c>
      <c r="G19" s="7">
        <f t="shared" si="5"/>
        <v>58366.810000000019</v>
      </c>
    </row>
    <row r="20" spans="2:7" ht="18.75" x14ac:dyDescent="0.25">
      <c r="B20" s="8" t="s">
        <v>67</v>
      </c>
      <c r="C20" s="5">
        <v>5501.79</v>
      </c>
      <c r="D20" s="5">
        <v>7660.1</v>
      </c>
      <c r="E20" s="5">
        <v>7580.72</v>
      </c>
      <c r="F20" s="5">
        <v>7606.71</v>
      </c>
      <c r="G20" s="5">
        <v>5462.2</v>
      </c>
    </row>
    <row r="21" spans="2:7" ht="18.75" x14ac:dyDescent="0.25">
      <c r="B21" s="9" t="s">
        <v>112</v>
      </c>
      <c r="C21" s="7">
        <f xml:space="preserve"> C19-C20</f>
        <v>20019.930000000004</v>
      </c>
      <c r="D21" s="7">
        <f t="shared" ref="D21:G21" si="6" xml:space="preserve"> D19-D20</f>
        <v>17631.82999999998</v>
      </c>
      <c r="E21" s="7">
        <f t="shared" si="6"/>
        <v>8191.61</v>
      </c>
      <c r="F21" s="7">
        <f t="shared" si="6"/>
        <v>22360.79</v>
      </c>
      <c r="G21" s="7">
        <f t="shared" si="6"/>
        <v>52904.610000000022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20019.930000000004</v>
      </c>
      <c r="D23" s="7">
        <f t="shared" ref="D23:G23" si="7" xml:space="preserve"> D21+D22</f>
        <v>17631.82999999998</v>
      </c>
      <c r="E23" s="7">
        <f t="shared" si="7"/>
        <v>8191.61</v>
      </c>
      <c r="F23" s="7">
        <f t="shared" si="7"/>
        <v>22360.79</v>
      </c>
      <c r="G23" s="7">
        <f t="shared" si="7"/>
        <v>52904.610000000022</v>
      </c>
    </row>
    <row r="24" spans="2:7" ht="18.75" x14ac:dyDescent="0.25">
      <c r="B24" s="8" t="s">
        <v>72</v>
      </c>
      <c r="C24" s="4">
        <v>9599.1200000000008</v>
      </c>
      <c r="D24" s="5">
        <v>-120.97</v>
      </c>
      <c r="E24" s="5">
        <v>-4929.58</v>
      </c>
      <c r="F24" s="4">
        <v>-1043.1600000000001</v>
      </c>
      <c r="G24" s="5">
        <v>-134.06</v>
      </c>
    </row>
    <row r="25" spans="2:7" ht="18.75" x14ac:dyDescent="0.25">
      <c r="B25" s="9" t="s">
        <v>115</v>
      </c>
      <c r="C25" s="7">
        <f xml:space="preserve"> C23+C24</f>
        <v>29619.050000000003</v>
      </c>
      <c r="D25" s="7">
        <f t="shared" ref="D25:G25" si="8" xml:space="preserve"> D23+D24</f>
        <v>17510.859999999979</v>
      </c>
      <c r="E25" s="7">
        <f t="shared" si="8"/>
        <v>3262.0299999999997</v>
      </c>
      <c r="F25" s="7">
        <f t="shared" si="8"/>
        <v>21317.63</v>
      </c>
      <c r="G25" s="7">
        <f t="shared" si="8"/>
        <v>52770.550000000025</v>
      </c>
    </row>
    <row r="26" spans="2:7" ht="18.75" x14ac:dyDescent="0.25">
      <c r="B26" s="8" t="s">
        <v>79</v>
      </c>
      <c r="C26" s="5">
        <v>3405.39</v>
      </c>
      <c r="D26" s="5">
        <v>6718.43</v>
      </c>
      <c r="E26" s="5">
        <v>-2552.9</v>
      </c>
      <c r="F26" s="5">
        <v>5653.9</v>
      </c>
      <c r="G26" s="5">
        <v>8477.5499999999993</v>
      </c>
    </row>
    <row r="27" spans="2:7" ht="18.75" x14ac:dyDescent="0.25">
      <c r="B27" s="9" t="s">
        <v>116</v>
      </c>
      <c r="C27" s="7">
        <f xml:space="preserve"> C25-C26</f>
        <v>26213.660000000003</v>
      </c>
      <c r="D27" s="7">
        <f t="shared" ref="D27:G27" si="9" xml:space="preserve"> D25-D26</f>
        <v>10792.429999999978</v>
      </c>
      <c r="E27" s="7">
        <f t="shared" si="9"/>
        <v>5814.93</v>
      </c>
      <c r="F27" s="7">
        <f t="shared" si="9"/>
        <v>15663.730000000001</v>
      </c>
      <c r="G27" s="7">
        <f t="shared" si="9"/>
        <v>44293.000000000029</v>
      </c>
    </row>
    <row r="28" spans="2:7" ht="18.75" x14ac:dyDescent="0.25">
      <c r="B28" s="8" t="s">
        <v>88</v>
      </c>
      <c r="C28" s="5">
        <v>1236.18</v>
      </c>
      <c r="D28" s="5">
        <v>1144.76</v>
      </c>
      <c r="E28" s="5">
        <v>1488.13</v>
      </c>
      <c r="F28" s="5">
        <v>1144.75</v>
      </c>
      <c r="G28" s="5">
        <v>3004.16</v>
      </c>
    </row>
    <row r="29" spans="2:7" ht="18.75" x14ac:dyDescent="0.25">
      <c r="B29" s="8" t="s">
        <v>89</v>
      </c>
      <c r="C29" s="4">
        <v>95.47</v>
      </c>
      <c r="D29" s="4">
        <v>224.61</v>
      </c>
      <c r="E29" s="4">
        <v>297.39999999999998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24882.010000000002</v>
      </c>
      <c r="D30" s="7">
        <f t="shared" ref="D30:G30" si="10" xml:space="preserve"> D27-D28-D29</f>
        <v>9423.0599999999777</v>
      </c>
      <c r="E30" s="7">
        <f t="shared" si="10"/>
        <v>4029.4</v>
      </c>
      <c r="F30" s="7">
        <f t="shared" si="10"/>
        <v>14518.980000000001</v>
      </c>
      <c r="G30" s="7">
        <f t="shared" si="10"/>
        <v>41288.840000000026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128</v>
      </c>
      <c r="D34" s="4">
        <v>88</v>
      </c>
      <c r="E34" s="4">
        <v>12</v>
      </c>
      <c r="F34" s="4">
        <v>64</v>
      </c>
      <c r="G34" s="4">
        <v>332</v>
      </c>
    </row>
    <row r="35" spans="2:7" ht="18.75" x14ac:dyDescent="0.25">
      <c r="B35" s="8" t="s">
        <v>118</v>
      </c>
      <c r="C35" s="4">
        <f>C27/C34</f>
        <v>204.79421875000003</v>
      </c>
      <c r="D35" s="4">
        <f t="shared" ref="D35:G35" si="11">D27/D34</f>
        <v>122.64124999999976</v>
      </c>
      <c r="E35" s="4">
        <f t="shared" si="11"/>
        <v>484.57750000000004</v>
      </c>
      <c r="F35" s="4">
        <f t="shared" si="11"/>
        <v>244.74578125000002</v>
      </c>
      <c r="G35" s="4">
        <f t="shared" si="11"/>
        <v>133.41265060240971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43591-EBD4-41E3-ACD5-36AFD7C07A3D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41205.43</v>
      </c>
      <c r="D6" s="16">
        <f>'Income Statement'!D11</f>
        <v>54309.07</v>
      </c>
      <c r="E6" s="16">
        <f>'Income Statement'!E11</f>
        <v>53592.83</v>
      </c>
      <c r="F6" s="16">
        <f>'Income Statement'!F11</f>
        <v>45292.49</v>
      </c>
      <c r="G6" s="16">
        <f>'Income Statement'!G11</f>
        <v>75763.7</v>
      </c>
    </row>
    <row r="7" spans="2:7" ht="18.75" x14ac:dyDescent="0.25">
      <c r="B7" s="15" t="str">
        <f>'Balance Sheet'!B19</f>
        <v>Total Current Liabilities</v>
      </c>
      <c r="C7" s="16">
        <f>'Balance Sheet'!C19</f>
        <v>48706.84</v>
      </c>
      <c r="D7" s="16">
        <f>'Balance Sheet'!D19</f>
        <v>58688.149999999994</v>
      </c>
      <c r="E7" s="16">
        <f>'Balance Sheet'!E19</f>
        <v>51705.72</v>
      </c>
      <c r="F7" s="16">
        <f>'Balance Sheet'!F19</f>
        <v>78070.359999999986</v>
      </c>
      <c r="G7" s="16">
        <f>'Balance Sheet'!G19</f>
        <v>87192.68</v>
      </c>
    </row>
    <row r="8" spans="2:7" ht="18.75" x14ac:dyDescent="0.25">
      <c r="B8" s="17" t="s">
        <v>194</v>
      </c>
      <c r="C8" s="17">
        <f>ROUND(365/C6*C7, 2)</f>
        <v>431.45</v>
      </c>
      <c r="D8" s="17">
        <f t="shared" ref="D8:G8" si="0">ROUND(365/D6*D7, 2)</f>
        <v>394.43</v>
      </c>
      <c r="E8" s="17">
        <f t="shared" si="0"/>
        <v>352.15</v>
      </c>
      <c r="F8" s="17">
        <f t="shared" si="0"/>
        <v>629.15</v>
      </c>
      <c r="G8" s="17">
        <f t="shared" si="0"/>
        <v>420.06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0566A-DB68-4B34-9D10-F5F3486A10C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131741.49</v>
      </c>
      <c r="D6" s="16">
        <f>'Income Statement'!D5</f>
        <v>154691.84</v>
      </c>
      <c r="E6" s="16">
        <f>'Income Statement'!E5</f>
        <v>146106</v>
      </c>
      <c r="F6" s="16">
        <f>'Income Statement'!F5</f>
        <v>154719.28</v>
      </c>
      <c r="G6" s="16">
        <f>'Income Statement'!G5</f>
        <v>242326.87</v>
      </c>
    </row>
    <row r="7" spans="2:7" ht="18.75" x14ac:dyDescent="0.25">
      <c r="B7" s="15" t="str">
        <f>'Balance Sheet'!B37</f>
        <v>Trade Receivables</v>
      </c>
      <c r="C7" s="16">
        <f>'Balance Sheet'!C37</f>
        <v>12415.52</v>
      </c>
      <c r="D7" s="16">
        <f>'Balance Sheet'!D37</f>
        <v>11811</v>
      </c>
      <c r="E7" s="16">
        <f>'Balance Sheet'!E37</f>
        <v>7884.91</v>
      </c>
      <c r="F7" s="16">
        <f>'Balance Sheet'!F37</f>
        <v>9539.84</v>
      </c>
      <c r="G7" s="16">
        <f>'Balance Sheet'!G37</f>
        <v>12246.43</v>
      </c>
    </row>
    <row r="8" spans="2:7" ht="18.75" x14ac:dyDescent="0.25">
      <c r="B8" s="17" t="s">
        <v>196</v>
      </c>
      <c r="C8" s="17">
        <f>ROUND(365/C6*C7, 2)</f>
        <v>34.4</v>
      </c>
      <c r="D8" s="17">
        <f t="shared" ref="D8:G8" si="0">ROUND(365/D6*D7, 2)</f>
        <v>27.87</v>
      </c>
      <c r="E8" s="17">
        <f t="shared" si="0"/>
        <v>19.7</v>
      </c>
      <c r="F8" s="17">
        <f t="shared" si="0"/>
        <v>22.51</v>
      </c>
      <c r="G8" s="17">
        <f t="shared" si="0"/>
        <v>18.45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AA0E9-DC47-41DE-83D6-F4A9840B3542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131741.49</v>
      </c>
      <c r="D6" s="16">
        <f>'Income Statement'!D5</f>
        <v>154691.84</v>
      </c>
      <c r="E6" s="16">
        <f>'Income Statement'!E5</f>
        <v>146106</v>
      </c>
      <c r="F6" s="16">
        <f>'Income Statement'!F5</f>
        <v>154719.28</v>
      </c>
      <c r="G6" s="16">
        <f>'Income Statement'!G5</f>
        <v>242326.87</v>
      </c>
    </row>
    <row r="7" spans="2:7" ht="18.75" x14ac:dyDescent="0.25">
      <c r="B7" s="15" t="str">
        <f>'Balance Sheet'!B36</f>
        <v>Inventories</v>
      </c>
      <c r="C7" s="16">
        <f>'Balance Sheet'!C36</f>
        <v>28331.040000000001</v>
      </c>
      <c r="D7" s="16">
        <f>'Balance Sheet'!D36</f>
        <v>31656.1</v>
      </c>
      <c r="E7" s="16">
        <f>'Balance Sheet'!E36</f>
        <v>31068.720000000001</v>
      </c>
      <c r="F7" s="16">
        <f>'Balance Sheet'!F36</f>
        <v>33276.379999999997</v>
      </c>
      <c r="G7" s="16">
        <f>'Balance Sheet'!G36</f>
        <v>48824.39</v>
      </c>
    </row>
    <row r="8" spans="2:7" ht="18.75" x14ac:dyDescent="0.25">
      <c r="B8" s="15" t="s">
        <v>192</v>
      </c>
      <c r="C8" s="16">
        <f>ROUND(365/C6*C7, 2)</f>
        <v>78.489999999999995</v>
      </c>
      <c r="D8" s="16">
        <f t="shared" ref="D8:G8" si="0">ROUND(365/D6*D7, 2)</f>
        <v>74.69</v>
      </c>
      <c r="E8" s="16">
        <f t="shared" si="0"/>
        <v>77.62</v>
      </c>
      <c r="F8" s="16">
        <f t="shared" si="0"/>
        <v>78.5</v>
      </c>
      <c r="G8" s="16">
        <f t="shared" si="0"/>
        <v>73.540000000000006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41205.43</v>
      </c>
      <c r="D9" s="16">
        <f>'Income Statement'!D11</f>
        <v>54309.07</v>
      </c>
      <c r="E9" s="16">
        <f>'Income Statement'!E11</f>
        <v>53592.83</v>
      </c>
      <c r="F9" s="16">
        <f>'Income Statement'!F11</f>
        <v>45292.49</v>
      </c>
      <c r="G9" s="16">
        <f>'Income Statement'!G11</f>
        <v>75763.7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48706.84</v>
      </c>
      <c r="D10" s="16">
        <f>'Balance Sheet'!D19</f>
        <v>58688.149999999994</v>
      </c>
      <c r="E10" s="16">
        <f>'Balance Sheet'!E19</f>
        <v>51705.72</v>
      </c>
      <c r="F10" s="16">
        <f>'Balance Sheet'!F19</f>
        <v>78070.359999999986</v>
      </c>
      <c r="G10" s="16">
        <f>'Balance Sheet'!G19</f>
        <v>87192.68</v>
      </c>
    </row>
    <row r="11" spans="2:7" ht="18.75" x14ac:dyDescent="0.25">
      <c r="B11" s="15" t="s">
        <v>194</v>
      </c>
      <c r="C11" s="16">
        <f>ROUND(365/C9*C10, 2)</f>
        <v>431.45</v>
      </c>
      <c r="D11" s="16">
        <f t="shared" ref="D11:G11" si="1">ROUND(365/D9*D10, 2)</f>
        <v>394.43</v>
      </c>
      <c r="E11" s="16">
        <f t="shared" si="1"/>
        <v>352.15</v>
      </c>
      <c r="F11" s="16">
        <f t="shared" si="1"/>
        <v>629.15</v>
      </c>
      <c r="G11" s="16">
        <f t="shared" si="1"/>
        <v>420.06</v>
      </c>
    </row>
    <row r="12" spans="2:7" ht="18.75" x14ac:dyDescent="0.25">
      <c r="B12" s="17" t="s">
        <v>198</v>
      </c>
      <c r="C12" s="28">
        <f>ROUND(C11+C8, 2)</f>
        <v>509.94</v>
      </c>
      <c r="D12" s="28">
        <f t="shared" ref="D12:G12" si="2">ROUND(D11+D8, 2)</f>
        <v>469.12</v>
      </c>
      <c r="E12" s="28">
        <f t="shared" si="2"/>
        <v>429.77</v>
      </c>
      <c r="F12" s="28">
        <f t="shared" si="2"/>
        <v>707.65</v>
      </c>
      <c r="G12" s="28">
        <f t="shared" si="2"/>
        <v>493.6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0DCB4-595A-4516-ABAB-5D69AF423B2C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131741.49</v>
      </c>
      <c r="D6" s="16">
        <f>'Income Statement'!D5</f>
        <v>154691.84</v>
      </c>
      <c r="E6" s="16">
        <f>'Income Statement'!E5</f>
        <v>146106</v>
      </c>
      <c r="F6" s="16">
        <f>'Income Statement'!F5</f>
        <v>154719.28</v>
      </c>
      <c r="G6" s="16">
        <f>'Income Statement'!G5</f>
        <v>242326.87</v>
      </c>
    </row>
    <row r="7" spans="2:7" ht="18.75" x14ac:dyDescent="0.25">
      <c r="B7" s="15" t="str">
        <f>'Balance Sheet'!B36</f>
        <v>Inventories</v>
      </c>
      <c r="C7" s="16">
        <f>'Balance Sheet'!C36</f>
        <v>28331.040000000001</v>
      </c>
      <c r="D7" s="16">
        <f>'Balance Sheet'!D36</f>
        <v>31656.1</v>
      </c>
      <c r="E7" s="16">
        <f>'Balance Sheet'!E36</f>
        <v>31068.720000000001</v>
      </c>
      <c r="F7" s="16">
        <f>'Balance Sheet'!F36</f>
        <v>33276.379999999997</v>
      </c>
      <c r="G7" s="16">
        <f>'Balance Sheet'!G36</f>
        <v>48824.39</v>
      </c>
    </row>
    <row r="8" spans="2:7" ht="18.75" x14ac:dyDescent="0.25">
      <c r="B8" s="15" t="s">
        <v>192</v>
      </c>
      <c r="C8" s="16">
        <f>ROUND(365/C6*C7, 2)</f>
        <v>78.489999999999995</v>
      </c>
      <c r="D8" s="16">
        <f t="shared" ref="D8:G8" si="0">ROUND(365/D6*D7, 2)</f>
        <v>74.69</v>
      </c>
      <c r="E8" s="16">
        <f t="shared" si="0"/>
        <v>77.62</v>
      </c>
      <c r="F8" s="16">
        <f t="shared" si="0"/>
        <v>78.5</v>
      </c>
      <c r="G8" s="16">
        <f t="shared" si="0"/>
        <v>73.540000000000006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41205.43</v>
      </c>
      <c r="D9" s="16">
        <f>'Income Statement'!D11</f>
        <v>54309.07</v>
      </c>
      <c r="E9" s="16">
        <f>'Income Statement'!E11</f>
        <v>53592.83</v>
      </c>
      <c r="F9" s="16">
        <f>'Income Statement'!F11</f>
        <v>45292.49</v>
      </c>
      <c r="G9" s="16">
        <f>'Income Statement'!G11</f>
        <v>75763.7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48706.84</v>
      </c>
      <c r="D10" s="16">
        <f>'Balance Sheet'!D19</f>
        <v>58688.149999999994</v>
      </c>
      <c r="E10" s="16">
        <f>'Balance Sheet'!E19</f>
        <v>51705.72</v>
      </c>
      <c r="F10" s="16">
        <f>'Balance Sheet'!F19</f>
        <v>78070.359999999986</v>
      </c>
      <c r="G10" s="16">
        <f>'Balance Sheet'!G19</f>
        <v>87192.68</v>
      </c>
    </row>
    <row r="11" spans="2:7" ht="18.75" x14ac:dyDescent="0.25">
      <c r="B11" s="15" t="s">
        <v>194</v>
      </c>
      <c r="C11" s="16">
        <f>ROUND(365/C9*C10, 2)</f>
        <v>431.45</v>
      </c>
      <c r="D11" s="16">
        <f t="shared" ref="D11:G11" si="1">ROUND(365/D9*D10, 2)</f>
        <v>394.43</v>
      </c>
      <c r="E11" s="16">
        <f t="shared" si="1"/>
        <v>352.15</v>
      </c>
      <c r="F11" s="16">
        <f t="shared" si="1"/>
        <v>629.15</v>
      </c>
      <c r="G11" s="16">
        <f t="shared" si="1"/>
        <v>420.06</v>
      </c>
    </row>
    <row r="12" spans="2:7" ht="18.75" x14ac:dyDescent="0.25">
      <c r="B12" s="15" t="s">
        <v>200</v>
      </c>
      <c r="C12" s="16">
        <f>ROUND(C11+C8, 2)</f>
        <v>509.94</v>
      </c>
      <c r="D12" s="16">
        <f t="shared" ref="D12:G12" si="2">ROUND(D11+D8, 2)</f>
        <v>469.12</v>
      </c>
      <c r="E12" s="16">
        <f t="shared" si="2"/>
        <v>429.77</v>
      </c>
      <c r="F12" s="16">
        <f t="shared" si="2"/>
        <v>707.65</v>
      </c>
      <c r="G12" s="16">
        <f t="shared" si="2"/>
        <v>493.6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41205.43</v>
      </c>
      <c r="D13" s="16">
        <f>'Income Statement'!D11</f>
        <v>54309.07</v>
      </c>
      <c r="E13" s="16">
        <f>'Income Statement'!E11</f>
        <v>53592.83</v>
      </c>
      <c r="F13" s="16">
        <f>'Income Statement'!F11</f>
        <v>45292.49</v>
      </c>
      <c r="G13" s="16">
        <f>'Income Statement'!G11</f>
        <v>75763.7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48706.84</v>
      </c>
      <c r="D14" s="16">
        <f>'Balance Sheet'!D19</f>
        <v>58688.149999999994</v>
      </c>
      <c r="E14" s="16">
        <f>'Balance Sheet'!E19</f>
        <v>51705.72</v>
      </c>
      <c r="F14" s="16">
        <f>'Balance Sheet'!F19</f>
        <v>78070.359999999986</v>
      </c>
      <c r="G14" s="16">
        <f>'Balance Sheet'!G19</f>
        <v>87192.68</v>
      </c>
    </row>
    <row r="15" spans="2:7" ht="18.75" x14ac:dyDescent="0.25">
      <c r="B15" s="15" t="s">
        <v>194</v>
      </c>
      <c r="C15" s="16">
        <f>ROUND(365/C13*C14, 2)</f>
        <v>431.45</v>
      </c>
      <c r="D15" s="16">
        <f t="shared" ref="D15:G15" si="3">ROUND(365/D13*D14, 2)</f>
        <v>394.43</v>
      </c>
      <c r="E15" s="16">
        <f t="shared" si="3"/>
        <v>352.15</v>
      </c>
      <c r="F15" s="16">
        <f t="shared" si="3"/>
        <v>629.15</v>
      </c>
      <c r="G15" s="16">
        <f t="shared" si="3"/>
        <v>420.06</v>
      </c>
    </row>
    <row r="16" spans="2:7" ht="18.75" x14ac:dyDescent="0.25">
      <c r="B16" s="17" t="s">
        <v>201</v>
      </c>
      <c r="C16" s="28">
        <f>ROUND(C15-C12, 2)</f>
        <v>-78.489999999999995</v>
      </c>
      <c r="D16" s="28">
        <f t="shared" ref="D16:G16" si="4">ROUND(D15-D12, 2)</f>
        <v>-74.69</v>
      </c>
      <c r="E16" s="28">
        <f t="shared" si="4"/>
        <v>-77.62</v>
      </c>
      <c r="F16" s="28">
        <f t="shared" si="4"/>
        <v>-78.5</v>
      </c>
      <c r="G16" s="28">
        <f t="shared" si="4"/>
        <v>-73.540000000000006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A1023-4AC4-475C-A939-49FA5A1FD1E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58595.6</v>
      </c>
      <c r="D5" s="16">
        <f>'Balance Sheet'!D9</f>
        <v>68018.64999999998</v>
      </c>
      <c r="E5" s="16">
        <f>'Balance Sheet'!E9</f>
        <v>72048.059999999969</v>
      </c>
      <c r="F5" s="16">
        <f>'Balance Sheet'!F9</f>
        <v>86619.699999999968</v>
      </c>
      <c r="G5" s="16">
        <f>'Balance Sheet'!G9</f>
        <v>127932.14</v>
      </c>
    </row>
    <row r="6" spans="2:7" ht="18.75" x14ac:dyDescent="0.25">
      <c r="B6" s="15" t="str">
        <f>'Balance Sheet'!B21</f>
        <v>Total Liabilities</v>
      </c>
      <c r="C6" s="16">
        <f>'Balance Sheet'!C21</f>
        <v>207482.91999999998</v>
      </c>
      <c r="D6" s="16">
        <f>'Balance Sheet'!D21</f>
        <v>232675.95999999996</v>
      </c>
      <c r="E6" s="16">
        <f>'Balance Sheet'!E21</f>
        <v>248891.20999999996</v>
      </c>
      <c r="F6" s="16">
        <f>'Balance Sheet'!F21</f>
        <v>257868.13999999996</v>
      </c>
      <c r="G6" s="16">
        <f>'Balance Sheet'!G21</f>
        <v>298934.69999999995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67AB32-FA91-42A3-A044-74CD3C3E9EA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31483.380000000005</v>
      </c>
      <c r="D5" s="16">
        <f>'Income Statement'!D17</f>
        <v>32633.75999999998</v>
      </c>
      <c r="E5" s="16">
        <f>'Income Statement'!E17</f>
        <v>24480</v>
      </c>
      <c r="F5" s="16">
        <f>'Income Statement'!F17</f>
        <v>39201.14</v>
      </c>
      <c r="G5" s="16">
        <f>'Income Statement'!G17</f>
        <v>67467.680000000022</v>
      </c>
    </row>
    <row r="6" spans="2:7" ht="18.75" x14ac:dyDescent="0.25">
      <c r="B6" s="15" t="str">
        <f>'Income Statement'!B19</f>
        <v>PBIT</v>
      </c>
      <c r="C6" s="16">
        <f>'Income Statement'!C19</f>
        <v>25521.720000000005</v>
      </c>
      <c r="D6" s="16">
        <f>'Income Statement'!D19</f>
        <v>25291.929999999978</v>
      </c>
      <c r="E6" s="16">
        <f>'Income Statement'!E19</f>
        <v>15772.33</v>
      </c>
      <c r="F6" s="16">
        <f>'Income Statement'!F19</f>
        <v>29967.5</v>
      </c>
      <c r="G6" s="16">
        <f>'Income Statement'!G19</f>
        <v>58366.810000000019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C6EE7-11A6-425D-9E7A-132FFA90042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79139.170000000013</v>
      </c>
      <c r="D5" s="16">
        <f>'Balance Sheet'!D39</f>
        <v>95877.819999999978</v>
      </c>
      <c r="E5" s="16">
        <f>'Balance Sheet'!E39</f>
        <v>109297.33999999997</v>
      </c>
      <c r="F5" s="16">
        <f>'Balance Sheet'!F39</f>
        <v>122910.11999999997</v>
      </c>
      <c r="G5" s="16">
        <f>'Balance Sheet'!G39</f>
        <v>169974.61</v>
      </c>
    </row>
    <row r="6" spans="2:7" ht="18.75" x14ac:dyDescent="0.25">
      <c r="B6" s="15" t="str">
        <f>'Balance Sheet'!B19</f>
        <v>Total Current Liabilities</v>
      </c>
      <c r="C6" s="16">
        <f>'Balance Sheet'!C19</f>
        <v>48706.84</v>
      </c>
      <c r="D6" s="16">
        <f>'Balance Sheet'!D19</f>
        <v>58688.149999999994</v>
      </c>
      <c r="E6" s="16">
        <f>'Balance Sheet'!E19</f>
        <v>51705.72</v>
      </c>
      <c r="F6" s="16">
        <f>'Balance Sheet'!F19</f>
        <v>78070.359999999986</v>
      </c>
      <c r="G6" s="16">
        <f>'Balance Sheet'!G19</f>
        <v>87192.68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B516C-00F7-4760-A9D0-3176598AA2C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4338.24</v>
      </c>
      <c r="D5" s="16">
        <f>'Balance Sheet'!D14</f>
        <v>4046.21</v>
      </c>
      <c r="E5" s="16">
        <f>'Balance Sheet'!E14</f>
        <v>4235.07</v>
      </c>
      <c r="F5" s="16">
        <f>'Balance Sheet'!F14</f>
        <v>4691.92</v>
      </c>
      <c r="G5" s="16">
        <f>'Balance Sheet'!G14</f>
        <v>4825.9799999999996</v>
      </c>
    </row>
    <row r="6" spans="2:7" ht="18.75" x14ac:dyDescent="0.25">
      <c r="B6" s="15" t="str">
        <f>'Balance Sheet'!B15</f>
        <v>Short Term Provisions</v>
      </c>
      <c r="C6" s="16">
        <f>'Balance Sheet'!C15</f>
        <v>1269.6400000000001</v>
      </c>
      <c r="D6" s="16">
        <f>'Balance Sheet'!D15</f>
        <v>1248.72</v>
      </c>
      <c r="E6" s="16">
        <f>'Balance Sheet'!E15</f>
        <v>1663.67</v>
      </c>
      <c r="F6" s="16">
        <f>'Balance Sheet'!F15</f>
        <v>4725.32</v>
      </c>
      <c r="G6" s="16">
        <f>'Balance Sheet'!G15</f>
        <v>2768.49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C657C-9192-4741-93A1-F7FB825008CD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41205.43</v>
      </c>
      <c r="D5" s="16">
        <f>'Income Statement'!D11</f>
        <v>54309.07</v>
      </c>
      <c r="E5" s="16">
        <f>'Income Statement'!E11</f>
        <v>53592.83</v>
      </c>
      <c r="F5" s="16">
        <f>'Income Statement'!F11</f>
        <v>45292.49</v>
      </c>
      <c r="G5" s="16">
        <f>'Income Statement'!G11</f>
        <v>75763.7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0</v>
      </c>
      <c r="D6" s="16">
        <f>'Income Statement'!D12</f>
        <v>0</v>
      </c>
      <c r="E6" s="16">
        <f>'Income Statement'!E12</f>
        <v>0</v>
      </c>
      <c r="F6" s="16">
        <f>'Income Statement'!F12</f>
        <v>0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DBCD9C-1D2D-45C9-97B9-D2532859A44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131741.49</v>
      </c>
      <c r="D5" s="16">
        <f>'Income Statement'!D5</f>
        <v>154691.84</v>
      </c>
      <c r="E5" s="16">
        <f>'Income Statement'!E5</f>
        <v>146106</v>
      </c>
      <c r="F5" s="16">
        <f>'Income Statement'!F5</f>
        <v>154719.28</v>
      </c>
      <c r="G5" s="16">
        <f>'Income Statement'!G5</f>
        <v>242326.87</v>
      </c>
    </row>
    <row r="6" spans="2:7" ht="18.75" x14ac:dyDescent="0.25">
      <c r="B6" s="15" t="str">
        <f>'Income Statement'!B10</f>
        <v>Total Income</v>
      </c>
      <c r="C6" s="16">
        <f>'Income Statement'!C10</f>
        <v>131790.32</v>
      </c>
      <c r="D6" s="16">
        <f>'Income Statement'!D10</f>
        <v>156112.21</v>
      </c>
      <c r="E6" s="16">
        <f>'Income Statement'!E10</f>
        <v>147927.99</v>
      </c>
      <c r="F6" s="16">
        <f>'Income Statement'!F10</f>
        <v>155614.88</v>
      </c>
      <c r="G6" s="16">
        <f>'Income Statement'!G10</f>
        <v>243111.76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63953-B2FB-480C-9976-AB4D7F86C4F0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7" width="17.1406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5">
        <v>1144.95</v>
      </c>
      <c r="D5" s="5">
        <v>1144.94</v>
      </c>
      <c r="E5" s="5">
        <v>1144.95</v>
      </c>
      <c r="F5" s="5">
        <v>1197.6099999999999</v>
      </c>
      <c r="G5" s="5">
        <v>1221.21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7">
        <f>C5+C6</f>
        <v>1144.95</v>
      </c>
      <c r="D7" s="7">
        <f t="shared" ref="D7:G7" si="0">D5+D6</f>
        <v>1144.94</v>
      </c>
      <c r="E7" s="7">
        <f t="shared" si="0"/>
        <v>1144.95</v>
      </c>
      <c r="F7" s="7">
        <f t="shared" si="0"/>
        <v>1197.6099999999999</v>
      </c>
      <c r="G7" s="7">
        <f t="shared" si="0"/>
        <v>1221.21</v>
      </c>
    </row>
    <row r="8" spans="2:7" ht="18.75" x14ac:dyDescent="0.25">
      <c r="B8" s="8" t="s">
        <v>7</v>
      </c>
      <c r="C8" s="5">
        <v>57450.65</v>
      </c>
      <c r="D8" s="5">
        <f>'Income Statement'!D30+C8</f>
        <v>66873.709999999977</v>
      </c>
      <c r="E8" s="5">
        <f>'Income Statement'!E30+D8</f>
        <v>70903.109999999971</v>
      </c>
      <c r="F8" s="5">
        <f>'Income Statement'!F30+E8</f>
        <v>85422.089999999967</v>
      </c>
      <c r="G8" s="5">
        <f>'Income Statement'!G30+F8</f>
        <v>126710.93</v>
      </c>
    </row>
    <row r="9" spans="2:7" ht="18.75" x14ac:dyDescent="0.25">
      <c r="B9" s="9" t="s">
        <v>122</v>
      </c>
      <c r="C9" s="7">
        <f>C7+C8</f>
        <v>58595.6</v>
      </c>
      <c r="D9" s="7">
        <f t="shared" ref="D9:G9" si="1">D7+D8</f>
        <v>68018.64999999998</v>
      </c>
      <c r="E9" s="7">
        <f t="shared" si="1"/>
        <v>72048.059999999969</v>
      </c>
      <c r="F9" s="7">
        <f t="shared" si="1"/>
        <v>86619.699999999968</v>
      </c>
      <c r="G9" s="7">
        <f t="shared" si="1"/>
        <v>127932.14</v>
      </c>
    </row>
    <row r="10" spans="2:7" ht="18.75" x14ac:dyDescent="0.25">
      <c r="B10" s="8" t="s">
        <v>12</v>
      </c>
      <c r="C10" s="5">
        <v>72789.100000000006</v>
      </c>
      <c r="D10" s="5">
        <v>80342.73</v>
      </c>
      <c r="E10" s="5">
        <v>94104.97</v>
      </c>
      <c r="F10" s="5">
        <v>65698.009999999995</v>
      </c>
      <c r="G10" s="5">
        <v>44764.07</v>
      </c>
    </row>
    <row r="11" spans="2:7" ht="18.75" x14ac:dyDescent="0.25">
      <c r="B11" s="8" t="s">
        <v>13</v>
      </c>
      <c r="C11" s="5">
        <v>10569.88</v>
      </c>
      <c r="D11" s="5">
        <v>12459.89</v>
      </c>
      <c r="E11" s="5">
        <v>9261.3799999999992</v>
      </c>
      <c r="F11" s="5">
        <v>9241.42</v>
      </c>
      <c r="G11" s="5">
        <v>12325.78</v>
      </c>
    </row>
    <row r="12" spans="2:7" ht="18.75" x14ac:dyDescent="0.25">
      <c r="B12" s="8" t="s">
        <v>18</v>
      </c>
      <c r="C12" s="5">
        <v>15884.98</v>
      </c>
      <c r="D12" s="5">
        <v>10802.08</v>
      </c>
      <c r="E12" s="5">
        <v>19184.48</v>
      </c>
      <c r="F12" s="5">
        <v>14968.97</v>
      </c>
      <c r="G12" s="5">
        <v>24064.61</v>
      </c>
    </row>
    <row r="13" spans="2:7" ht="18.75" x14ac:dyDescent="0.25">
      <c r="B13" s="9" t="s">
        <v>123</v>
      </c>
      <c r="C13" s="7">
        <f>C10+C11+C12</f>
        <v>99243.96</v>
      </c>
      <c r="D13" s="7">
        <f t="shared" ref="D13:G13" si="2">D10+D11+D12</f>
        <v>103604.7</v>
      </c>
      <c r="E13" s="7">
        <f t="shared" si="2"/>
        <v>122550.83</v>
      </c>
      <c r="F13" s="7">
        <f t="shared" si="2"/>
        <v>89908.4</v>
      </c>
      <c r="G13" s="7">
        <f t="shared" si="2"/>
        <v>81154.459999999992</v>
      </c>
    </row>
    <row r="14" spans="2:7" ht="18.75" x14ac:dyDescent="0.25">
      <c r="B14" s="8" t="s">
        <v>15</v>
      </c>
      <c r="C14" s="5">
        <v>4338.24</v>
      </c>
      <c r="D14" s="5">
        <v>4046.21</v>
      </c>
      <c r="E14" s="5">
        <v>4235.07</v>
      </c>
      <c r="F14" s="5">
        <v>4691.92</v>
      </c>
      <c r="G14" s="5">
        <v>4825.9799999999996</v>
      </c>
    </row>
    <row r="15" spans="2:7" ht="18.75" x14ac:dyDescent="0.25">
      <c r="B15" s="8" t="s">
        <v>21</v>
      </c>
      <c r="C15" s="5">
        <v>1269.6400000000001</v>
      </c>
      <c r="D15" s="5">
        <v>1248.72</v>
      </c>
      <c r="E15" s="5">
        <v>1663.67</v>
      </c>
      <c r="F15" s="5">
        <v>4725.32</v>
      </c>
      <c r="G15" s="5">
        <v>2768.49</v>
      </c>
    </row>
    <row r="16" spans="2:7" ht="18.75" x14ac:dyDescent="0.25">
      <c r="B16" s="8" t="s">
        <v>14</v>
      </c>
      <c r="C16" s="5">
        <v>4592.17</v>
      </c>
      <c r="D16" s="5">
        <v>4409.8900000000003</v>
      </c>
      <c r="E16" s="5">
        <v>4994.22</v>
      </c>
      <c r="F16" s="5">
        <v>17480.28</v>
      </c>
      <c r="G16" s="5">
        <v>15843.31</v>
      </c>
    </row>
    <row r="17" spans="2:7" ht="18.75" x14ac:dyDescent="0.25">
      <c r="B17" s="8" t="s">
        <v>19</v>
      </c>
      <c r="C17" s="5">
        <v>20413.810000000001</v>
      </c>
      <c r="D17" s="5">
        <v>21716.959999999999</v>
      </c>
      <c r="E17" s="5">
        <v>21380.85</v>
      </c>
      <c r="F17" s="5">
        <v>25967.49</v>
      </c>
      <c r="G17" s="5">
        <v>36764.870000000003</v>
      </c>
    </row>
    <row r="18" spans="2:7" ht="18.75" x14ac:dyDescent="0.25">
      <c r="B18" s="8" t="s">
        <v>20</v>
      </c>
      <c r="C18" s="5">
        <v>18092.98</v>
      </c>
      <c r="D18" s="5">
        <v>27266.37</v>
      </c>
      <c r="E18" s="5">
        <v>19431.91</v>
      </c>
      <c r="F18" s="5">
        <v>25205.35</v>
      </c>
      <c r="G18" s="5">
        <v>26990.03</v>
      </c>
    </row>
    <row r="19" spans="2:7" ht="18.75" x14ac:dyDescent="0.25">
      <c r="B19" s="9" t="s">
        <v>22</v>
      </c>
      <c r="C19" s="7">
        <f>C14+C15+C16+C17+C18</f>
        <v>48706.84</v>
      </c>
      <c r="D19" s="7">
        <f t="shared" ref="D19:G19" si="3">D14+D15+D16+D17+D18</f>
        <v>58688.149999999994</v>
      </c>
      <c r="E19" s="7">
        <f t="shared" si="3"/>
        <v>51705.72</v>
      </c>
      <c r="F19" s="7">
        <f t="shared" si="3"/>
        <v>78070.359999999986</v>
      </c>
      <c r="G19" s="7">
        <f t="shared" si="3"/>
        <v>87192.68</v>
      </c>
    </row>
    <row r="20" spans="2:7" ht="18.75" x14ac:dyDescent="0.25">
      <c r="B20" s="8" t="s">
        <v>10</v>
      </c>
      <c r="C20" s="5">
        <v>936.52</v>
      </c>
      <c r="D20" s="5">
        <v>2364.46</v>
      </c>
      <c r="E20" s="5">
        <v>2586.6</v>
      </c>
      <c r="F20" s="5">
        <v>3269.68</v>
      </c>
      <c r="G20" s="4">
        <v>2655.42</v>
      </c>
    </row>
    <row r="21" spans="2:7" ht="18.75" x14ac:dyDescent="0.25">
      <c r="B21" s="9" t="s">
        <v>124</v>
      </c>
      <c r="C21" s="7">
        <f>C9+C13+C19+C20</f>
        <v>207482.91999999998</v>
      </c>
      <c r="D21" s="7">
        <f t="shared" ref="D21:G21" si="4">D9+D13+D19+D20</f>
        <v>232675.95999999996</v>
      </c>
      <c r="E21" s="7">
        <f t="shared" si="4"/>
        <v>248891.20999999996</v>
      </c>
      <c r="F21" s="7">
        <f t="shared" si="4"/>
        <v>257868.13999999996</v>
      </c>
      <c r="G21" s="7">
        <f t="shared" si="4"/>
        <v>298934.69999999995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90322.78</v>
      </c>
      <c r="D23" s="5">
        <v>118450.97</v>
      </c>
      <c r="E23" s="5">
        <v>128053.75999999999</v>
      </c>
      <c r="F23" s="5">
        <v>128454.45</v>
      </c>
      <c r="G23" s="5">
        <v>124504.16</v>
      </c>
    </row>
    <row r="24" spans="2:7" ht="18.75" x14ac:dyDescent="0.25">
      <c r="B24" s="8" t="s">
        <v>27</v>
      </c>
      <c r="C24" s="5">
        <v>1682.66</v>
      </c>
      <c r="D24" s="5">
        <v>1994.32</v>
      </c>
      <c r="E24" s="5">
        <v>2442.37</v>
      </c>
      <c r="F24" s="5">
        <v>2976.04</v>
      </c>
      <c r="G24" s="5">
        <v>4472.47</v>
      </c>
    </row>
    <row r="25" spans="2:7" ht="18.75" x14ac:dyDescent="0.25">
      <c r="B25" s="8" t="s">
        <v>125</v>
      </c>
      <c r="C25" s="4"/>
      <c r="D25" s="5">
        <f>'Income Statement'!D18</f>
        <v>7341.83</v>
      </c>
      <c r="E25" s="5">
        <f>'Income Statement'!E18+D25</f>
        <v>16049.5</v>
      </c>
      <c r="F25" s="5">
        <f>'Income Statement'!F18+E25</f>
        <v>25283.14</v>
      </c>
      <c r="G25" s="5">
        <f>'Income Statement'!G18+F25</f>
        <v>34384.01</v>
      </c>
    </row>
    <row r="26" spans="2:7" ht="18.75" x14ac:dyDescent="0.25">
      <c r="B26" s="9" t="s">
        <v>126</v>
      </c>
      <c r="C26" s="7">
        <f>C23+C24-C25</f>
        <v>92005.440000000002</v>
      </c>
      <c r="D26" s="7">
        <f t="shared" ref="D26:G26" si="5">D23+D24-D25</f>
        <v>113103.46</v>
      </c>
      <c r="E26" s="7">
        <f t="shared" si="5"/>
        <v>114446.62999999999</v>
      </c>
      <c r="F26" s="7">
        <f t="shared" si="5"/>
        <v>106147.34999999999</v>
      </c>
      <c r="G26" s="7">
        <f t="shared" si="5"/>
        <v>94592.62</v>
      </c>
    </row>
    <row r="27" spans="2:7" ht="18.75" x14ac:dyDescent="0.25">
      <c r="B27" s="8" t="s">
        <v>30</v>
      </c>
      <c r="C27" s="5">
        <v>2990.5</v>
      </c>
      <c r="D27" s="5">
        <v>3213.31</v>
      </c>
      <c r="E27" s="5">
        <v>2853.31</v>
      </c>
      <c r="F27" s="5">
        <v>3463.04</v>
      </c>
      <c r="G27" s="5">
        <v>4615.43</v>
      </c>
    </row>
    <row r="28" spans="2:7" ht="18.75" x14ac:dyDescent="0.25">
      <c r="B28" s="8" t="s">
        <v>36</v>
      </c>
      <c r="C28" s="5">
        <v>14908.97</v>
      </c>
      <c r="D28" s="5">
        <v>2524.86</v>
      </c>
      <c r="E28" s="5">
        <v>3431.87</v>
      </c>
      <c r="F28" s="5">
        <v>7218.89</v>
      </c>
      <c r="G28" s="5">
        <v>8524.42</v>
      </c>
    </row>
    <row r="29" spans="2:7" ht="18.75" x14ac:dyDescent="0.25">
      <c r="B29" s="8" t="s">
        <v>28</v>
      </c>
      <c r="C29" s="5">
        <v>18438.84</v>
      </c>
      <c r="D29" s="5">
        <v>17956.509999999998</v>
      </c>
      <c r="E29" s="5">
        <v>18862.060000000001</v>
      </c>
      <c r="F29" s="5">
        <v>18128.740000000002</v>
      </c>
      <c r="G29" s="5">
        <v>21227.62</v>
      </c>
    </row>
    <row r="30" spans="2:7" ht="18.75" x14ac:dyDescent="0.25">
      <c r="B30" s="9" t="s">
        <v>127</v>
      </c>
      <c r="C30" s="7">
        <f>C26+C27+C28+C29</f>
        <v>128343.75</v>
      </c>
      <c r="D30" s="7">
        <f t="shared" ref="D30:G30" si="6">D26+D27+D28+D29</f>
        <v>136798.14000000001</v>
      </c>
      <c r="E30" s="7">
        <f t="shared" si="6"/>
        <v>139593.87</v>
      </c>
      <c r="F30" s="7">
        <f t="shared" si="6"/>
        <v>134958.01999999999</v>
      </c>
      <c r="G30" s="7">
        <f t="shared" si="6"/>
        <v>128960.08999999998</v>
      </c>
    </row>
    <row r="31" spans="2:7" ht="18.75" x14ac:dyDescent="0.25">
      <c r="B31" s="8" t="s">
        <v>31</v>
      </c>
      <c r="C31" s="5">
        <v>1035.8</v>
      </c>
      <c r="D31" s="5">
        <v>808.95</v>
      </c>
      <c r="E31" s="5">
        <v>1270.33</v>
      </c>
      <c r="F31" s="4">
        <v>1578.02</v>
      </c>
      <c r="G31" s="5">
        <v>3023.93</v>
      </c>
    </row>
    <row r="32" spans="2:7" ht="18.75" x14ac:dyDescent="0.25">
      <c r="B32" s="8" t="s">
        <v>32</v>
      </c>
      <c r="C32" s="5">
        <v>717.34</v>
      </c>
      <c r="D32" s="4">
        <v>613.34</v>
      </c>
      <c r="E32" s="4">
        <v>488.71</v>
      </c>
      <c r="F32" s="4">
        <v>91.93</v>
      </c>
      <c r="G32" s="4">
        <v>1282.44</v>
      </c>
    </row>
    <row r="33" spans="2:7" ht="18.75" x14ac:dyDescent="0.25">
      <c r="B33" s="8" t="s">
        <v>33</v>
      </c>
      <c r="C33" s="5">
        <v>24417.84</v>
      </c>
      <c r="D33" s="5">
        <v>26872.69</v>
      </c>
      <c r="E33" s="5">
        <v>33026.89</v>
      </c>
      <c r="F33" s="5">
        <v>25359.74</v>
      </c>
      <c r="G33" s="5">
        <v>28633.81</v>
      </c>
    </row>
    <row r="34" spans="2:7" ht="18.75" x14ac:dyDescent="0.25">
      <c r="B34" s="8" t="s">
        <v>40</v>
      </c>
      <c r="C34" s="4">
        <v>256.48</v>
      </c>
      <c r="D34" s="4">
        <v>239.7</v>
      </c>
      <c r="E34" s="4">
        <v>215.68</v>
      </c>
      <c r="F34" s="4">
        <v>5.59</v>
      </c>
      <c r="G34" s="4">
        <v>5.84</v>
      </c>
    </row>
    <row r="35" spans="2:7" ht="18.75" x14ac:dyDescent="0.25">
      <c r="B35" s="8" t="s">
        <v>41</v>
      </c>
      <c r="C35" s="5">
        <v>4027.3</v>
      </c>
      <c r="D35" s="5">
        <v>9417.9500000000007</v>
      </c>
      <c r="E35" s="5">
        <v>8076.82</v>
      </c>
      <c r="F35" s="5">
        <v>4389.0200000000004</v>
      </c>
      <c r="G35" s="5">
        <v>7056.6</v>
      </c>
    </row>
    <row r="36" spans="2:7" ht="18.75" x14ac:dyDescent="0.25">
      <c r="B36" s="8" t="s">
        <v>37</v>
      </c>
      <c r="C36" s="5">
        <v>28331.040000000001</v>
      </c>
      <c r="D36" s="5">
        <v>31656.1</v>
      </c>
      <c r="E36" s="5">
        <v>31068.720000000001</v>
      </c>
      <c r="F36" s="5">
        <v>33276.379999999997</v>
      </c>
      <c r="G36" s="5">
        <v>48824.39</v>
      </c>
    </row>
    <row r="37" spans="2:7" ht="18.75" x14ac:dyDescent="0.25">
      <c r="B37" s="8" t="s">
        <v>38</v>
      </c>
      <c r="C37" s="5">
        <v>12415.52</v>
      </c>
      <c r="D37" s="5">
        <v>11811</v>
      </c>
      <c r="E37" s="5">
        <v>7884.91</v>
      </c>
      <c r="F37" s="5">
        <v>9539.84</v>
      </c>
      <c r="G37" s="5">
        <v>12246.43</v>
      </c>
    </row>
    <row r="38" spans="2:7" ht="18.75" x14ac:dyDescent="0.25">
      <c r="B38" s="8" t="s">
        <v>39</v>
      </c>
      <c r="C38" s="5">
        <v>7937.85</v>
      </c>
      <c r="D38" s="5">
        <f>'CashFlow Statement'!D48+C38</f>
        <v>14458.089999999967</v>
      </c>
      <c r="E38" s="5">
        <f>'CashFlow Statement'!E48+D38</f>
        <v>27265.27999999997</v>
      </c>
      <c r="F38" s="5">
        <f>'CashFlow Statement'!F48+E38</f>
        <v>48669.599999999969</v>
      </c>
      <c r="G38" s="5">
        <f>'CashFlow Statement'!G48+F38</f>
        <v>68901.17</v>
      </c>
    </row>
    <row r="39" spans="2:7" ht="18.75" x14ac:dyDescent="0.25">
      <c r="B39" s="9" t="s">
        <v>42</v>
      </c>
      <c r="C39" s="7">
        <f>C31+C32+C33+C34+C35+C36+C37+C38</f>
        <v>79139.170000000013</v>
      </c>
      <c r="D39" s="7">
        <f t="shared" ref="D39:G39" si="7">D31+D32+D33+D34+D35+D36+D37+D38</f>
        <v>95877.819999999978</v>
      </c>
      <c r="E39" s="7">
        <f t="shared" si="7"/>
        <v>109297.33999999997</v>
      </c>
      <c r="F39" s="7">
        <f t="shared" si="7"/>
        <v>122910.11999999997</v>
      </c>
      <c r="G39" s="7">
        <f t="shared" si="7"/>
        <v>169974.61</v>
      </c>
    </row>
    <row r="40" spans="2:7" ht="18.75" x14ac:dyDescent="0.25">
      <c r="B40" s="9" t="s">
        <v>43</v>
      </c>
      <c r="C40" s="7">
        <f>C30+C39</f>
        <v>207482.92</v>
      </c>
      <c r="D40" s="7">
        <f t="shared" ref="D40:G40" si="8">D30+D39</f>
        <v>232675.96</v>
      </c>
      <c r="E40" s="7">
        <f t="shared" si="8"/>
        <v>248891.20999999996</v>
      </c>
      <c r="F40" s="7">
        <f t="shared" si="8"/>
        <v>257868.13999999996</v>
      </c>
      <c r="G40" s="7">
        <f t="shared" si="8"/>
        <v>298934.69999999995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20D539-A486-4F58-8646-57C84DD0224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207482.91999999998</v>
      </c>
      <c r="D5" s="16">
        <f>'Balance Sheet'!D21</f>
        <v>232675.95999999996</v>
      </c>
      <c r="E5" s="16">
        <f>'Balance Sheet'!E21</f>
        <v>248891.20999999996</v>
      </c>
      <c r="F5" s="16">
        <f>'Balance Sheet'!F21</f>
        <v>257868.13999999996</v>
      </c>
      <c r="G5" s="16">
        <f>'Balance Sheet'!G21</f>
        <v>298934.69999999995</v>
      </c>
    </row>
    <row r="6" spans="2:7" ht="18.75" x14ac:dyDescent="0.25">
      <c r="B6" s="15" t="str">
        <f>'Balance Sheet'!B13</f>
        <v>Total Debt</v>
      </c>
      <c r="C6" s="16">
        <f>'Balance Sheet'!C13</f>
        <v>99243.96</v>
      </c>
      <c r="D6" s="16">
        <f>'Balance Sheet'!D13</f>
        <v>103604.7</v>
      </c>
      <c r="E6" s="16">
        <f>'Balance Sheet'!E13</f>
        <v>122550.83</v>
      </c>
      <c r="F6" s="16">
        <f>'Balance Sheet'!F13</f>
        <v>89908.4</v>
      </c>
      <c r="G6" s="16">
        <f>'Balance Sheet'!G13</f>
        <v>81154.459999999992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E4B14A-8E4B-4602-AC35-DD1FE9BF723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207482.91999999998</v>
      </c>
      <c r="D5" s="16">
        <f>'Balance Sheet'!D21</f>
        <v>232675.95999999996</v>
      </c>
      <c r="E5" s="16">
        <f>'Balance Sheet'!E21</f>
        <v>248891.20999999996</v>
      </c>
      <c r="F5" s="16">
        <f>'Balance Sheet'!F21</f>
        <v>257868.13999999996</v>
      </c>
      <c r="G5" s="16">
        <f>'Balance Sheet'!G21</f>
        <v>298934.69999999995</v>
      </c>
    </row>
    <row r="6" spans="2:7" ht="18.75" x14ac:dyDescent="0.25">
      <c r="B6" s="15" t="str">
        <f>'Balance Sheet'!B19</f>
        <v>Total Current Liabilities</v>
      </c>
      <c r="C6" s="16">
        <f>'Balance Sheet'!C19</f>
        <v>48706.84</v>
      </c>
      <c r="D6" s="16">
        <f>'Balance Sheet'!D19</f>
        <v>58688.149999999994</v>
      </c>
      <c r="E6" s="16">
        <f>'Balance Sheet'!E19</f>
        <v>51705.72</v>
      </c>
      <c r="F6" s="16">
        <f>'Balance Sheet'!F19</f>
        <v>78070.359999999986</v>
      </c>
      <c r="G6" s="16">
        <f>'Balance Sheet'!G19</f>
        <v>87192.68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50D7E-8F81-4413-A334-86D52CF4FCAF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207482.92</v>
      </c>
      <c r="D5" s="16">
        <f>'Balance Sheet'!D40</f>
        <v>232675.96</v>
      </c>
      <c r="E5" s="16">
        <f>'Balance Sheet'!E40</f>
        <v>248891.20999999996</v>
      </c>
      <c r="F5" s="16">
        <f>'Balance Sheet'!F40</f>
        <v>257868.13999999996</v>
      </c>
      <c r="G5" s="16">
        <f>'Balance Sheet'!G40</f>
        <v>298934.69999999995</v>
      </c>
    </row>
    <row r="6" spans="2:7" ht="18.75" x14ac:dyDescent="0.25">
      <c r="B6" s="15" t="str">
        <f>'Balance Sheet'!B30</f>
        <v>Total Non Current Assets</v>
      </c>
      <c r="C6" s="16">
        <f>'Balance Sheet'!C30</f>
        <v>128343.75</v>
      </c>
      <c r="D6" s="16">
        <f>'Balance Sheet'!D30</f>
        <v>136798.14000000001</v>
      </c>
      <c r="E6" s="16">
        <f>'Balance Sheet'!E30</f>
        <v>139593.87</v>
      </c>
      <c r="F6" s="16">
        <f>'Balance Sheet'!F30</f>
        <v>134958.01999999999</v>
      </c>
      <c r="G6" s="16">
        <f>'Balance Sheet'!G30</f>
        <v>128960.08999999998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D37D2-874C-4B7A-9612-66FC383DE2C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207482.92</v>
      </c>
      <c r="D5" s="16">
        <f>'Balance Sheet'!D40</f>
        <v>232675.96</v>
      </c>
      <c r="E5" s="16">
        <f>'Balance Sheet'!E40</f>
        <v>248891.20999999996</v>
      </c>
      <c r="F5" s="16">
        <f>'Balance Sheet'!F40</f>
        <v>257868.13999999996</v>
      </c>
      <c r="G5" s="16">
        <f>'Balance Sheet'!G40</f>
        <v>298934.69999999995</v>
      </c>
    </row>
    <row r="6" spans="2:7" ht="18.75" x14ac:dyDescent="0.25">
      <c r="B6" s="15" t="str">
        <f>'Balance Sheet'!B39</f>
        <v>Total Current Assets</v>
      </c>
      <c r="C6" s="16">
        <f>'Balance Sheet'!C39</f>
        <v>79139.170000000013</v>
      </c>
      <c r="D6" s="16">
        <f>'Balance Sheet'!D39</f>
        <v>95877.819999999978</v>
      </c>
      <c r="E6" s="16">
        <f>'Balance Sheet'!E39</f>
        <v>109297.33999999997</v>
      </c>
      <c r="F6" s="16">
        <f>'Balance Sheet'!F39</f>
        <v>122910.11999999997</v>
      </c>
      <c r="G6" s="16">
        <f>'Balance Sheet'!G39</f>
        <v>169974.61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63ACA-CF39-4D51-81CE-9DE6CE17B38F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100306.94</v>
      </c>
      <c r="D5" s="16">
        <f>'Income Statement'!D15</f>
        <v>123478.45000000001</v>
      </c>
      <c r="E5" s="16">
        <f>'Income Statement'!E15</f>
        <v>123447.98999999999</v>
      </c>
      <c r="F5" s="16">
        <f>'Income Statement'!F15</f>
        <v>116413.74</v>
      </c>
      <c r="G5" s="16">
        <f>'Income Statement'!G15</f>
        <v>175644.08</v>
      </c>
    </row>
    <row r="6" spans="2:7" ht="18.75" x14ac:dyDescent="0.25">
      <c r="B6" s="15" t="str">
        <f>'Income Statement'!B10</f>
        <v>Total Income</v>
      </c>
      <c r="C6" s="16">
        <f>'Income Statement'!C10</f>
        <v>131790.32</v>
      </c>
      <c r="D6" s="16">
        <f>'Income Statement'!D10</f>
        <v>156112.21</v>
      </c>
      <c r="E6" s="16">
        <f>'Income Statement'!E10</f>
        <v>147927.99</v>
      </c>
      <c r="F6" s="16">
        <f>'Income Statement'!F10</f>
        <v>155614.88</v>
      </c>
      <c r="G6" s="16">
        <f>'Income Statement'!G10</f>
        <v>243111.76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46B36-898C-45BE-9256-BFAC939F819D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4" width="13.140625" bestFit="1" customWidth="1"/>
    <col min="5" max="5" width="11.5703125" bestFit="1" customWidth="1"/>
    <col min="6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24882.010000000002</v>
      </c>
      <c r="D5" s="16">
        <f>'Income Statement'!D30</f>
        <v>9423.0599999999777</v>
      </c>
      <c r="E5" s="16">
        <f>'Income Statement'!E30</f>
        <v>4029.4</v>
      </c>
      <c r="F5" s="16">
        <f>'Income Statement'!F30</f>
        <v>14518.980000000001</v>
      </c>
      <c r="G5" s="16">
        <f>'Income Statement'!G30</f>
        <v>41288.840000000026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26213.660000000003</v>
      </c>
      <c r="D6" s="16">
        <f>'Income Statement'!D27</f>
        <v>10792.429999999978</v>
      </c>
      <c r="E6" s="16">
        <f>'Income Statement'!E27</f>
        <v>5814.93</v>
      </c>
      <c r="F6" s="16">
        <f>'Income Statement'!F27</f>
        <v>15663.730000000001</v>
      </c>
      <c r="G6" s="16">
        <f>'Income Statement'!G27</f>
        <v>44293.000000000029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896C3-60D6-4FCC-A70B-9FE7ACEC51C9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4" width="16.5703125" bestFit="1" customWidth="1"/>
    <col min="5" max="5" width="15.42578125" bestFit="1" customWidth="1"/>
    <col min="6" max="7" width="16.57031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17510.859999999979</v>
      </c>
      <c r="E5" s="5">
        <f>'Income Statement'!E25</f>
        <v>3262.0299999999997</v>
      </c>
      <c r="F5" s="5">
        <f>'Income Statement'!F25</f>
        <v>21317.63</v>
      </c>
      <c r="G5" s="5">
        <f>'Income Statement'!G25</f>
        <v>52770.550000000025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5">
        <f>'Income Statement'!D18</f>
        <v>7341.83</v>
      </c>
      <c r="E7" s="5">
        <f>'Income Statement'!E18</f>
        <v>8707.67</v>
      </c>
      <c r="F7" s="5">
        <f>'Income Statement'!F18</f>
        <v>9233.64</v>
      </c>
      <c r="G7" s="5">
        <f>'Income Statement'!G18</f>
        <v>9100.8700000000008</v>
      </c>
    </row>
    <row r="8" spans="2:7" ht="18.75" x14ac:dyDescent="0.25">
      <c r="B8" s="8" t="s">
        <v>131</v>
      </c>
      <c r="C8" s="4"/>
      <c r="D8" s="5">
        <f>'Income Statement'!D20</f>
        <v>7660.1</v>
      </c>
      <c r="E8" s="5">
        <f>'Income Statement'!E20</f>
        <v>7580.72</v>
      </c>
      <c r="F8" s="5">
        <f>'Income Statement'!F20</f>
        <v>7606.71</v>
      </c>
      <c r="G8" s="5">
        <f>'Income Statement'!G20</f>
        <v>5462.2</v>
      </c>
    </row>
    <row r="9" spans="2:7" ht="18.75" x14ac:dyDescent="0.25">
      <c r="B9" s="8" t="s">
        <v>59</v>
      </c>
      <c r="C9" s="4"/>
      <c r="D9" s="4">
        <f>'Income Statement'!D8</f>
        <v>1420.58</v>
      </c>
      <c r="E9" s="4">
        <f>'Income Statement'!E8</f>
        <v>1821.99</v>
      </c>
      <c r="F9" s="4">
        <f>'Income Statement'!F8</f>
        <v>895.6</v>
      </c>
      <c r="G9" s="4">
        <f>'Income Statement'!G8</f>
        <v>784.89</v>
      </c>
    </row>
    <row r="10" spans="2:7" ht="18.75" x14ac:dyDescent="0.25">
      <c r="B10" s="9" t="s">
        <v>132</v>
      </c>
      <c r="C10" s="6"/>
      <c r="D10" s="7">
        <f>D7+D8-D9</f>
        <v>13581.35</v>
      </c>
      <c r="E10" s="7">
        <f t="shared" ref="E10:G10" si="0">E7+E8-E9</f>
        <v>14466.4</v>
      </c>
      <c r="F10" s="7">
        <f t="shared" si="0"/>
        <v>15944.749999999998</v>
      </c>
      <c r="G10" s="7">
        <f t="shared" si="0"/>
        <v>13778.18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5">
        <f>'Balance Sheet'!C31-'Balance Sheet'!D31</f>
        <v>226.84999999999991</v>
      </c>
      <c r="E12" s="5">
        <f>'Balance Sheet'!D31-'Balance Sheet'!E31</f>
        <v>-461.37999999999988</v>
      </c>
      <c r="F12" s="5">
        <f>'Balance Sheet'!E31-'Balance Sheet'!F31</f>
        <v>-307.69000000000005</v>
      </c>
      <c r="G12" s="5">
        <f>'Balance Sheet'!F31-'Balance Sheet'!G31</f>
        <v>-1445.9099999999999</v>
      </c>
    </row>
    <row r="13" spans="2:7" ht="18.75" x14ac:dyDescent="0.25">
      <c r="B13" s="8" t="str">
        <f>'Balance Sheet'!B32</f>
        <v>Long Term Loans And Advances</v>
      </c>
      <c r="C13" s="4"/>
      <c r="D13" s="5">
        <f>'Balance Sheet'!C32-'Balance Sheet'!D32</f>
        <v>104</v>
      </c>
      <c r="E13" s="5">
        <f>'Balance Sheet'!D32-'Balance Sheet'!E32</f>
        <v>124.63000000000005</v>
      </c>
      <c r="F13" s="5">
        <f>'Balance Sheet'!E32-'Balance Sheet'!F32</f>
        <v>396.78</v>
      </c>
      <c r="G13" s="5">
        <f>'Balance Sheet'!F32-'Balance Sheet'!G32</f>
        <v>-1190.51</v>
      </c>
    </row>
    <row r="14" spans="2:7" ht="18.75" x14ac:dyDescent="0.25">
      <c r="B14" s="8" t="str">
        <f>'Balance Sheet'!B33</f>
        <v>Other Non-Current Assets</v>
      </c>
      <c r="C14" s="4"/>
      <c r="D14" s="5">
        <f>'Balance Sheet'!C33-'Balance Sheet'!D33</f>
        <v>-2454.8499999999985</v>
      </c>
      <c r="E14" s="5">
        <f>'Balance Sheet'!D33-'Balance Sheet'!E33</f>
        <v>-6154.2000000000007</v>
      </c>
      <c r="F14" s="5">
        <f>'Balance Sheet'!E33-'Balance Sheet'!F33</f>
        <v>7667.1499999999978</v>
      </c>
      <c r="G14" s="5">
        <f>'Balance Sheet'!F33-'Balance Sheet'!G33</f>
        <v>-3274.0699999999997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16.78000000000003</v>
      </c>
      <c r="E15" s="4">
        <f>'Balance Sheet'!D34-'Balance Sheet'!E34</f>
        <v>24.019999999999982</v>
      </c>
      <c r="F15" s="4">
        <f>'Balance Sheet'!E34-'Balance Sheet'!F34</f>
        <v>210.09</v>
      </c>
      <c r="G15" s="4">
        <f>'Balance Sheet'!F34-'Balance Sheet'!G34</f>
        <v>-0.25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-5390.6500000000005</v>
      </c>
      <c r="E16" s="5">
        <f>'Balance Sheet'!D35-'Balance Sheet'!E35</f>
        <v>1341.130000000001</v>
      </c>
      <c r="F16" s="5">
        <f>'Balance Sheet'!E35-'Balance Sheet'!F35</f>
        <v>3687.7999999999993</v>
      </c>
      <c r="G16" s="5">
        <f>'Balance Sheet'!F35-'Balance Sheet'!G35</f>
        <v>-2667.58</v>
      </c>
    </row>
    <row r="17" spans="2:7" ht="18.75" x14ac:dyDescent="0.25">
      <c r="B17" s="8" t="str">
        <f>'Balance Sheet'!B36</f>
        <v>Inventories</v>
      </c>
      <c r="C17" s="4"/>
      <c r="D17" s="5">
        <f>'Balance Sheet'!C36-'Balance Sheet'!D36</f>
        <v>-3325.0599999999977</v>
      </c>
      <c r="E17" s="5">
        <f>'Balance Sheet'!D36-'Balance Sheet'!E36</f>
        <v>587.37999999999738</v>
      </c>
      <c r="F17" s="5">
        <f>'Balance Sheet'!E36-'Balance Sheet'!F36</f>
        <v>-2207.6599999999962</v>
      </c>
      <c r="G17" s="5">
        <f>'Balance Sheet'!F36-'Balance Sheet'!G36</f>
        <v>-15548.010000000002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604.52000000000044</v>
      </c>
      <c r="E18" s="5">
        <f>'Balance Sheet'!D37-'Balance Sheet'!E37</f>
        <v>3926.09</v>
      </c>
      <c r="F18" s="5">
        <f>'Balance Sheet'!E37-'Balance Sheet'!F37</f>
        <v>-1654.9300000000003</v>
      </c>
      <c r="G18" s="5">
        <f>'Balance Sheet'!F37-'Balance Sheet'!G37</f>
        <v>-2706.59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5">
        <f>'Balance Sheet'!D14-'Balance Sheet'!C14</f>
        <v>-292.02999999999975</v>
      </c>
      <c r="E20" s="5">
        <f>'Balance Sheet'!E14-'Balance Sheet'!D14</f>
        <v>188.85999999999967</v>
      </c>
      <c r="F20" s="5">
        <f>'Balance Sheet'!F14-'Balance Sheet'!E14</f>
        <v>456.85000000000036</v>
      </c>
      <c r="G20" s="5">
        <f>'Balance Sheet'!G14-'Balance Sheet'!F14</f>
        <v>134.05999999999949</v>
      </c>
    </row>
    <row r="21" spans="2:7" ht="18.75" x14ac:dyDescent="0.25">
      <c r="B21" s="8" t="str">
        <f>'Balance Sheet'!B15</f>
        <v>Short Term Provisions</v>
      </c>
      <c r="C21" s="4"/>
      <c r="D21" s="5">
        <f>'Balance Sheet'!D15-'Balance Sheet'!C15</f>
        <v>-20.920000000000073</v>
      </c>
      <c r="E21" s="5">
        <f>'Balance Sheet'!E15-'Balance Sheet'!D15</f>
        <v>414.95000000000005</v>
      </c>
      <c r="F21" s="5">
        <f>'Balance Sheet'!F15-'Balance Sheet'!E15</f>
        <v>3061.6499999999996</v>
      </c>
      <c r="G21" s="5">
        <f>'Balance Sheet'!G15-'Balance Sheet'!F15</f>
        <v>-1956.83</v>
      </c>
    </row>
    <row r="22" spans="2:7" ht="18.75" x14ac:dyDescent="0.25">
      <c r="B22" s="8" t="str">
        <f>'Balance Sheet'!B16</f>
        <v>Other Long Term Liabilities</v>
      </c>
      <c r="C22" s="4"/>
      <c r="D22" s="5">
        <f>'Balance Sheet'!D16-'Balance Sheet'!C16</f>
        <v>-182.27999999999975</v>
      </c>
      <c r="E22" s="5">
        <f>'Balance Sheet'!E16-'Balance Sheet'!D16</f>
        <v>584.32999999999993</v>
      </c>
      <c r="F22" s="5">
        <f>'Balance Sheet'!F16-'Balance Sheet'!E16</f>
        <v>12486.059999999998</v>
      </c>
      <c r="G22" s="5">
        <f>'Balance Sheet'!G16-'Balance Sheet'!F16</f>
        <v>-1636.9699999999993</v>
      </c>
    </row>
    <row r="23" spans="2:7" ht="18.75" x14ac:dyDescent="0.25">
      <c r="B23" s="8" t="str">
        <f>'Balance Sheet'!B17</f>
        <v>Trade Payables</v>
      </c>
      <c r="C23" s="4"/>
      <c r="D23" s="5">
        <f>'Balance Sheet'!D17-'Balance Sheet'!C17</f>
        <v>1303.1499999999978</v>
      </c>
      <c r="E23" s="5">
        <f>'Balance Sheet'!E17-'Balance Sheet'!D17</f>
        <v>-336.11000000000058</v>
      </c>
      <c r="F23" s="5">
        <f>'Balance Sheet'!F17-'Balance Sheet'!E17</f>
        <v>4586.6400000000031</v>
      </c>
      <c r="G23" s="5">
        <f>'Balance Sheet'!G17-'Balance Sheet'!F17</f>
        <v>10797.380000000001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9173.39</v>
      </c>
      <c r="E24" s="5">
        <f>'Balance Sheet'!E18-'Balance Sheet'!D18</f>
        <v>-7834.4599999999991</v>
      </c>
      <c r="F24" s="5">
        <f>'Balance Sheet'!F18-'Balance Sheet'!E18</f>
        <v>5773.4399999999987</v>
      </c>
      <c r="G24" s="5">
        <f>'Balance Sheet'!G18-'Balance Sheet'!F18</f>
        <v>1784.6800000000003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5">
        <f>'Income Statement'!D26</f>
        <v>6718.43</v>
      </c>
      <c r="E26" s="5">
        <f>'Income Statement'!E26</f>
        <v>-2552.9</v>
      </c>
      <c r="F26" s="5">
        <f>'Income Statement'!F26</f>
        <v>5653.9</v>
      </c>
      <c r="G26" s="5">
        <f>'Income Statement'!G26</f>
        <v>8477.5499999999993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24136.679999999978</v>
      </c>
      <c r="E27" s="7">
        <f t="shared" ref="E27:G27" si="1">E12+E13+E14+E15+E16+E17+E18+E20+E21+E22+E23+E24-E26+E10+E5</f>
        <v>12686.569999999996</v>
      </c>
      <c r="F27" s="7">
        <f t="shared" si="1"/>
        <v>65764.66</v>
      </c>
      <c r="G27" s="7">
        <f t="shared" si="1"/>
        <v>40360.580000000024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-28128.190000000002</v>
      </c>
      <c r="E29" s="5">
        <f>'Balance Sheet'!D23-'Balance Sheet'!E23</f>
        <v>-9602.7899999999936</v>
      </c>
      <c r="F29" s="5">
        <f>'Balance Sheet'!E23-'Balance Sheet'!F23</f>
        <v>-400.69000000000233</v>
      </c>
      <c r="G29" s="5">
        <f>'Balance Sheet'!F23-'Balance Sheet'!G23</f>
        <v>3950.2899999999936</v>
      </c>
    </row>
    <row r="30" spans="2:7" ht="18.75" x14ac:dyDescent="0.25">
      <c r="B30" s="8" t="str">
        <f>'Balance Sheet'!B24</f>
        <v>Intangible Assets</v>
      </c>
      <c r="C30" s="4"/>
      <c r="D30" s="5">
        <f>'Balance Sheet'!C24-'Balance Sheet'!D24</f>
        <v>-311.65999999999985</v>
      </c>
      <c r="E30" s="5">
        <f>'Balance Sheet'!D24-'Balance Sheet'!E24</f>
        <v>-448.04999999999995</v>
      </c>
      <c r="F30" s="5">
        <f>'Balance Sheet'!E24-'Balance Sheet'!F24</f>
        <v>-533.67000000000007</v>
      </c>
      <c r="G30" s="5">
        <f>'Balance Sheet'!F24-'Balance Sheet'!G24</f>
        <v>-1496.4300000000003</v>
      </c>
    </row>
    <row r="31" spans="2:7" ht="18.75" x14ac:dyDescent="0.25">
      <c r="B31" s="8" t="str">
        <f>'Balance Sheet'!B27</f>
        <v>Non-Current Investments</v>
      </c>
      <c r="C31" s="4"/>
      <c r="D31" s="5">
        <f>'Balance Sheet'!C27-'Balance Sheet'!D27</f>
        <v>-222.80999999999995</v>
      </c>
      <c r="E31" s="5">
        <f>'Balance Sheet'!D27-'Balance Sheet'!E27</f>
        <v>360</v>
      </c>
      <c r="F31" s="5">
        <f>'Balance Sheet'!E27-'Balance Sheet'!F27</f>
        <v>-609.73</v>
      </c>
      <c r="G31" s="5">
        <f>'Balance Sheet'!F27-'Balance Sheet'!G27</f>
        <v>-1152.3900000000003</v>
      </c>
    </row>
    <row r="32" spans="2:7" ht="18.75" x14ac:dyDescent="0.25">
      <c r="B32" s="8" t="str">
        <f>'Balance Sheet'!B28</f>
        <v>Current Investments</v>
      </c>
      <c r="C32" s="4"/>
      <c r="D32" s="5">
        <f>'Balance Sheet'!C28-'Balance Sheet'!D28</f>
        <v>12384.109999999999</v>
      </c>
      <c r="E32" s="5">
        <f>'Balance Sheet'!D28-'Balance Sheet'!E28</f>
        <v>-907.00999999999976</v>
      </c>
      <c r="F32" s="5">
        <f>'Balance Sheet'!E28-'Balance Sheet'!F28</f>
        <v>-3787.0200000000004</v>
      </c>
      <c r="G32" s="5">
        <f>'Balance Sheet'!F28-'Balance Sheet'!G28</f>
        <v>-1305.5299999999997</v>
      </c>
    </row>
    <row r="33" spans="2:7" ht="18.75" x14ac:dyDescent="0.25">
      <c r="B33" s="8" t="str">
        <f>'Balance Sheet'!B29</f>
        <v>Capital Work-In-Progress</v>
      </c>
      <c r="C33" s="4"/>
      <c r="D33" s="5">
        <f>'Balance Sheet'!C29-'Balance Sheet'!D29</f>
        <v>482.33000000000175</v>
      </c>
      <c r="E33" s="5">
        <f>'Balance Sheet'!D29-'Balance Sheet'!E29</f>
        <v>-905.55000000000291</v>
      </c>
      <c r="F33" s="5">
        <f>'Balance Sheet'!E29-'Balance Sheet'!F29</f>
        <v>733.31999999999971</v>
      </c>
      <c r="G33" s="5">
        <f>'Balance Sheet'!F29-'Balance Sheet'!G29</f>
        <v>-3098.8799999999974</v>
      </c>
    </row>
    <row r="34" spans="2:7" ht="18.75" x14ac:dyDescent="0.25">
      <c r="B34" s="8" t="s">
        <v>59</v>
      </c>
      <c r="C34" s="4"/>
      <c r="D34" s="4">
        <f>'Income Statement'!D8</f>
        <v>1420.58</v>
      </c>
      <c r="E34" s="4">
        <f>'Income Statement'!E8</f>
        <v>1821.99</v>
      </c>
      <c r="F34" s="4">
        <f>'Income Statement'!F8</f>
        <v>895.6</v>
      </c>
      <c r="G34" s="4">
        <f>'Income Statement'!G8</f>
        <v>784.89</v>
      </c>
    </row>
    <row r="35" spans="2:7" ht="18.75" x14ac:dyDescent="0.25">
      <c r="B35" s="9" t="s">
        <v>137</v>
      </c>
      <c r="C35" s="6"/>
      <c r="D35" s="7">
        <f>D29+D30+D31+D32+D33+D34</f>
        <v>-14375.640000000003</v>
      </c>
      <c r="E35" s="7">
        <f t="shared" ref="E35:G35" si="2">E29+E30+E31+E32+E33+E34</f>
        <v>-9681.4099999999962</v>
      </c>
      <c r="F35" s="7">
        <f t="shared" si="2"/>
        <v>-3702.1900000000028</v>
      </c>
      <c r="G35" s="7">
        <f t="shared" si="2"/>
        <v>-2318.0500000000043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5">
        <f>'Balance Sheet'!D5-'Balance Sheet'!C5</f>
        <v>-9.9999999999909051E-3</v>
      </c>
      <c r="E37" s="5">
        <f>'Balance Sheet'!E5-'Balance Sheet'!D5</f>
        <v>9.9999999999909051E-3</v>
      </c>
      <c r="F37" s="5">
        <f>'Balance Sheet'!F5-'Balance Sheet'!E5</f>
        <v>52.659999999999854</v>
      </c>
      <c r="G37" s="5">
        <f>'Balance Sheet'!G5-'Balance Sheet'!F5</f>
        <v>23.600000000000136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5">
        <f>'Balance Sheet'!D10-'Balance Sheet'!C10</f>
        <v>7553.6299999999901</v>
      </c>
      <c r="E39" s="5">
        <f>'Balance Sheet'!E10-'Balance Sheet'!D10</f>
        <v>13762.240000000005</v>
      </c>
      <c r="F39" s="5">
        <f>'Balance Sheet'!F10-'Balance Sheet'!E10</f>
        <v>-28406.960000000006</v>
      </c>
      <c r="G39" s="5">
        <f>'Balance Sheet'!G10-'Balance Sheet'!F10</f>
        <v>-20933.939999999995</v>
      </c>
    </row>
    <row r="40" spans="2:7" ht="18.75" x14ac:dyDescent="0.25">
      <c r="B40" s="8" t="str">
        <f>'Balance Sheet'!B11</f>
        <v>Deferred Tax Liabilities [Net]</v>
      </c>
      <c r="C40" s="4"/>
      <c r="D40" s="5">
        <f>'Balance Sheet'!D11-'Balance Sheet'!C11</f>
        <v>1890.0100000000002</v>
      </c>
      <c r="E40" s="5">
        <f>'Balance Sheet'!E11-'Balance Sheet'!D11</f>
        <v>-3198.51</v>
      </c>
      <c r="F40" s="5">
        <f>'Balance Sheet'!F11-'Balance Sheet'!E11</f>
        <v>-19.959999999999127</v>
      </c>
      <c r="G40" s="5">
        <f>'Balance Sheet'!G11-'Balance Sheet'!F11</f>
        <v>3084.3600000000006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-5082.8999999999996</v>
      </c>
      <c r="E41" s="5">
        <f>'Balance Sheet'!E12-'Balance Sheet'!D12</f>
        <v>8382.4</v>
      </c>
      <c r="F41" s="5">
        <f>'Balance Sheet'!F12-'Balance Sheet'!E12</f>
        <v>-4215.51</v>
      </c>
      <c r="G41" s="5">
        <f>'Balance Sheet'!G12-'Balance Sheet'!F12</f>
        <v>9095.6400000000012</v>
      </c>
    </row>
    <row r="42" spans="2:7" ht="18.75" x14ac:dyDescent="0.25">
      <c r="B42" s="8" t="str">
        <f>'Balance Sheet'!B20:G20</f>
        <v>Minority Interest</v>
      </c>
      <c r="C42" s="4"/>
      <c r="D42" s="5">
        <f>'Balance Sheet'!D20-'Balance Sheet'!C20</f>
        <v>1427.94</v>
      </c>
      <c r="E42" s="5">
        <f>'Balance Sheet'!E20-'Balance Sheet'!D20</f>
        <v>222.13999999999987</v>
      </c>
      <c r="F42" s="5">
        <f>'Balance Sheet'!F20-'Balance Sheet'!E20</f>
        <v>683.07999999999993</v>
      </c>
      <c r="G42" s="5">
        <f>'Balance Sheet'!G20-'Balance Sheet'!F20</f>
        <v>-614.25999999999976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5">
        <f>'Income Statement'!D28</f>
        <v>1144.76</v>
      </c>
      <c r="E44" s="5">
        <f>'Income Statement'!E28</f>
        <v>1488.13</v>
      </c>
      <c r="F44" s="5">
        <f>'Income Statement'!F28</f>
        <v>1144.75</v>
      </c>
      <c r="G44" s="5">
        <f>'Income Statement'!G28</f>
        <v>3004.16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224.61</v>
      </c>
      <c r="E45" s="4">
        <f>'Income Statement'!E29</f>
        <v>297.39999999999998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5">
        <f>'Income Statement'!D20</f>
        <v>7660.1</v>
      </c>
      <c r="E46" s="5">
        <f>'Income Statement'!E20</f>
        <v>7580.72</v>
      </c>
      <c r="F46" s="5">
        <f>'Income Statement'!F20</f>
        <v>7606.71</v>
      </c>
      <c r="G46" s="5">
        <f>'Income Statement'!G20</f>
        <v>5462.2</v>
      </c>
    </row>
    <row r="47" spans="2:7" ht="18.75" x14ac:dyDescent="0.25">
      <c r="B47" s="9" t="s">
        <v>141</v>
      </c>
      <c r="C47" s="6"/>
      <c r="D47" s="7">
        <f>D37+D38+D39+D40+D41+D42-D44-D45-D46</f>
        <v>-3240.8000000000093</v>
      </c>
      <c r="E47" s="7">
        <f t="shared" ref="E47:G47" si="3">E37+E38+E39+E40+E41+E42-E44-E45-E46</f>
        <v>9802.0300000000025</v>
      </c>
      <c r="F47" s="7">
        <f t="shared" si="3"/>
        <v>-40658.15</v>
      </c>
      <c r="G47" s="7">
        <f t="shared" si="3"/>
        <v>-17810.959999999995</v>
      </c>
    </row>
    <row r="48" spans="2:7" ht="18.75" x14ac:dyDescent="0.25">
      <c r="B48" s="9" t="s">
        <v>142</v>
      </c>
      <c r="C48" s="6"/>
      <c r="D48" s="7">
        <f>D27+D35+D47</f>
        <v>6520.2399999999661</v>
      </c>
      <c r="E48" s="7">
        <f t="shared" ref="E48:G48" si="4">E27+E35+E47</f>
        <v>12807.190000000002</v>
      </c>
      <c r="F48" s="7">
        <f t="shared" si="4"/>
        <v>21404.32</v>
      </c>
      <c r="G48" s="7">
        <f t="shared" si="4"/>
        <v>20231.570000000025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D3DFB-7551-42C6-B223-E5B1C3FE4357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6" width="14.85546875" bestFit="1" customWidth="1"/>
    <col min="7" max="7" width="15.14062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26213.660000000003</v>
      </c>
      <c r="D6" s="16">
        <f>'Income Statement'!D27</f>
        <v>10792.429999999978</v>
      </c>
      <c r="E6" s="16">
        <f>'Income Statement'!E27</f>
        <v>5814.93</v>
      </c>
      <c r="F6" s="16">
        <f>'Income Statement'!F27</f>
        <v>15663.730000000001</v>
      </c>
      <c r="G6" s="16">
        <f>'Income Statement'!G27</f>
        <v>44293.000000000029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204.79421875000003</v>
      </c>
      <c r="D7" s="16">
        <f>'Income Statement'!D35</f>
        <v>122.64124999999976</v>
      </c>
      <c r="E7" s="16">
        <f>'Income Statement'!E35</f>
        <v>484.57750000000004</v>
      </c>
      <c r="F7" s="16">
        <f>'Income Statement'!F35</f>
        <v>244.74578125000002</v>
      </c>
      <c r="G7" s="16">
        <f>'Income Statement'!G35</f>
        <v>133.41265060240971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128</v>
      </c>
      <c r="D8" s="17">
        <f t="shared" ref="D8:G8" si="0">ROUND(D6/D7, 2)</f>
        <v>88</v>
      </c>
      <c r="E8" s="17">
        <f t="shared" si="0"/>
        <v>12</v>
      </c>
      <c r="F8" s="17">
        <f t="shared" si="0"/>
        <v>64</v>
      </c>
      <c r="G8" s="17">
        <f t="shared" si="0"/>
        <v>332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1236.18</v>
      </c>
      <c r="D11" s="16">
        <f>'Income Statement'!D28</f>
        <v>1144.76</v>
      </c>
      <c r="E11" s="16">
        <f>'Income Statement'!E28</f>
        <v>1488.13</v>
      </c>
      <c r="F11" s="16">
        <f>'Income Statement'!F28</f>
        <v>1144.75</v>
      </c>
      <c r="G11" s="16">
        <f>'Income Statement'!G28</f>
        <v>3004.16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204.79421875000003</v>
      </c>
      <c r="D12" s="16">
        <f>'Income Statement'!D35</f>
        <v>122.64124999999976</v>
      </c>
      <c r="E12" s="16">
        <f>'Income Statement'!E35</f>
        <v>484.57750000000004</v>
      </c>
      <c r="F12" s="16">
        <f>'Income Statement'!F35</f>
        <v>244.74578125000002</v>
      </c>
      <c r="G12" s="16">
        <f>'Income Statement'!G35</f>
        <v>133.41265060240971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6.04</v>
      </c>
      <c r="D13" s="17">
        <f t="shared" ref="D13:G13" si="1">ROUND(D11/D12, 2)</f>
        <v>9.33</v>
      </c>
      <c r="E13" s="17">
        <f t="shared" si="1"/>
        <v>3.07</v>
      </c>
      <c r="F13" s="17">
        <f t="shared" si="1"/>
        <v>4.68</v>
      </c>
      <c r="G13" s="17">
        <f t="shared" si="1"/>
        <v>22.52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58595.6</v>
      </c>
      <c r="D16" s="16">
        <f>'Balance Sheet'!D9</f>
        <v>68018.64999999998</v>
      </c>
      <c r="E16" s="16">
        <f>'Balance Sheet'!E9</f>
        <v>72048.059999999969</v>
      </c>
      <c r="F16" s="16">
        <f>'Balance Sheet'!F9</f>
        <v>86619.699999999968</v>
      </c>
      <c r="G16" s="16">
        <f>'Balance Sheet'!G9</f>
        <v>127932.14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204.79421875000003</v>
      </c>
      <c r="D17" s="16">
        <f>'Income Statement'!D35</f>
        <v>122.64124999999976</v>
      </c>
      <c r="E17" s="16">
        <f>'Income Statement'!E35</f>
        <v>484.57750000000004</v>
      </c>
      <c r="F17" s="16">
        <f>'Income Statement'!F35</f>
        <v>244.74578125000002</v>
      </c>
      <c r="G17" s="16">
        <f>'Income Statement'!G35</f>
        <v>133.41265060240971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286.12</v>
      </c>
      <c r="D18" s="17">
        <f t="shared" ref="D18:G18" si="2">ROUND(D16/D17, 2)</f>
        <v>554.61</v>
      </c>
      <c r="E18" s="17">
        <f t="shared" si="2"/>
        <v>148.68</v>
      </c>
      <c r="F18" s="17">
        <f t="shared" si="2"/>
        <v>353.92</v>
      </c>
      <c r="G18" s="17">
        <f t="shared" si="2"/>
        <v>958.92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1236.18</v>
      </c>
      <c r="D21" s="16">
        <f>'Income Statement'!D28</f>
        <v>1144.76</v>
      </c>
      <c r="E21" s="16">
        <f>'Income Statement'!E28</f>
        <v>1488.13</v>
      </c>
      <c r="F21" s="16">
        <f>'Income Statement'!F28</f>
        <v>1144.75</v>
      </c>
      <c r="G21" s="16">
        <f>'Income Statement'!G28</f>
        <v>3004.16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204.79421875000003</v>
      </c>
      <c r="D22" s="16">
        <f>'Income Statement'!D35</f>
        <v>122.64124999999976</v>
      </c>
      <c r="E22" s="16">
        <f>'Income Statement'!E35</f>
        <v>484.57750000000004</v>
      </c>
      <c r="F22" s="16">
        <f>'Income Statement'!F35</f>
        <v>244.74578125000002</v>
      </c>
      <c r="G22" s="16">
        <f>'Income Statement'!G35</f>
        <v>133.41265060240971</v>
      </c>
    </row>
    <row r="23" spans="2:12" ht="18.75" x14ac:dyDescent="0.25">
      <c r="B23" s="15" t="s">
        <v>148</v>
      </c>
      <c r="C23" s="16">
        <f>ROUND(C21/C22, 2)</f>
        <v>6.04</v>
      </c>
      <c r="D23" s="16">
        <f t="shared" ref="D23:G23" si="3">ROUND(D21/D22, 2)</f>
        <v>9.33</v>
      </c>
      <c r="E23" s="16">
        <f t="shared" si="3"/>
        <v>3.07</v>
      </c>
      <c r="F23" s="16">
        <f t="shared" si="3"/>
        <v>4.68</v>
      </c>
      <c r="G23" s="16">
        <f t="shared" si="3"/>
        <v>22.52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26213.660000000003</v>
      </c>
      <c r="D24" s="16">
        <f>'Income Statement'!D27</f>
        <v>10792.429999999978</v>
      </c>
      <c r="E24" s="16">
        <f>'Income Statement'!E27</f>
        <v>5814.93</v>
      </c>
      <c r="F24" s="16">
        <f>'Income Statement'!F27</f>
        <v>15663.730000000001</v>
      </c>
      <c r="G24" s="16">
        <f>'Income Statement'!G27</f>
        <v>44293.000000000029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204.79421875000003</v>
      </c>
      <c r="D25" s="16">
        <f>'Income Statement'!D35</f>
        <v>122.64124999999976</v>
      </c>
      <c r="E25" s="16">
        <f>'Income Statement'!E35</f>
        <v>484.57750000000004</v>
      </c>
      <c r="F25" s="16">
        <f>'Income Statement'!F35</f>
        <v>244.74578125000002</v>
      </c>
      <c r="G25" s="16">
        <f>'Income Statement'!G35</f>
        <v>133.41265060240971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128</v>
      </c>
      <c r="D26" s="16">
        <f t="shared" ref="D26:G26" si="4">D24/D25</f>
        <v>88</v>
      </c>
      <c r="E26" s="16">
        <f t="shared" si="4"/>
        <v>12</v>
      </c>
      <c r="F26" s="16">
        <f t="shared" si="4"/>
        <v>64</v>
      </c>
      <c r="G26" s="16">
        <f t="shared" si="4"/>
        <v>332.00000000000006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0.05</v>
      </c>
      <c r="D27" s="17">
        <f t="shared" ref="D27:G27" si="5">ROUND(D23/D26, 2)</f>
        <v>0.11</v>
      </c>
      <c r="E27" s="17">
        <f t="shared" si="5"/>
        <v>0.26</v>
      </c>
      <c r="F27" s="17">
        <f t="shared" si="5"/>
        <v>7.0000000000000007E-2</v>
      </c>
      <c r="G27" s="17">
        <f t="shared" si="5"/>
        <v>7.0000000000000007E-2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1236.18</v>
      </c>
      <c r="D30" s="16">
        <f>'Income Statement'!D28</f>
        <v>1144.76</v>
      </c>
      <c r="E30" s="16">
        <f>'Income Statement'!E28</f>
        <v>1488.13</v>
      </c>
      <c r="F30" s="16">
        <f>'Income Statement'!F28</f>
        <v>1144.75</v>
      </c>
      <c r="G30" s="16">
        <f>'Income Statement'!G28</f>
        <v>3004.16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204.79421875000003</v>
      </c>
      <c r="D31" s="16">
        <f>'Income Statement'!D35</f>
        <v>122.64124999999976</v>
      </c>
      <c r="E31" s="16">
        <f>'Income Statement'!E35</f>
        <v>484.57750000000004</v>
      </c>
      <c r="F31" s="16">
        <f>'Income Statement'!F35</f>
        <v>244.74578125000002</v>
      </c>
      <c r="G31" s="16">
        <f>'Income Statement'!G35</f>
        <v>133.41265060240971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6.04</v>
      </c>
      <c r="D32" s="16">
        <f t="shared" ref="D32:G32" si="6">ROUND(D30/D31, 2)</f>
        <v>9.33</v>
      </c>
      <c r="E32" s="16">
        <f t="shared" si="6"/>
        <v>3.07</v>
      </c>
      <c r="F32" s="16">
        <f t="shared" si="6"/>
        <v>4.68</v>
      </c>
      <c r="G32" s="16">
        <f t="shared" si="6"/>
        <v>22.52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-5.04</v>
      </c>
      <c r="D33" s="27">
        <f t="shared" ref="D33:G33" si="7">1-D32</f>
        <v>-8.33</v>
      </c>
      <c r="E33" s="27">
        <f t="shared" si="7"/>
        <v>-2.0699999999999998</v>
      </c>
      <c r="F33" s="27">
        <f t="shared" si="7"/>
        <v>-3.6799999999999997</v>
      </c>
      <c r="G33" s="27">
        <f t="shared" si="7"/>
        <v>-21.52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131741.49</v>
      </c>
      <c r="D36" s="16">
        <f>'Income Statement'!D5</f>
        <v>154691.84</v>
      </c>
      <c r="E36" s="16">
        <f>'Income Statement'!E5</f>
        <v>146106</v>
      </c>
      <c r="F36" s="16">
        <f>'Income Statement'!F5</f>
        <v>154719.28</v>
      </c>
      <c r="G36" s="16">
        <f>'Income Statement'!G5</f>
        <v>242326.87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41205.43</v>
      </c>
      <c r="D37" s="16">
        <f>'Income Statement'!D11</f>
        <v>54309.07</v>
      </c>
      <c r="E37" s="16">
        <f>'Income Statement'!E11</f>
        <v>53592.83</v>
      </c>
      <c r="F37" s="16">
        <f>'Income Statement'!F11</f>
        <v>45292.49</v>
      </c>
      <c r="G37" s="16">
        <f>'Income Statement'!G11</f>
        <v>75763.7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90536.06</v>
      </c>
      <c r="D38" s="28">
        <f t="shared" ref="D38:G38" si="8">ROUND(D36- D37, 2)</f>
        <v>100382.77</v>
      </c>
      <c r="E38" s="28">
        <f t="shared" si="8"/>
        <v>92513.17</v>
      </c>
      <c r="F38" s="28">
        <f t="shared" si="8"/>
        <v>109426.79</v>
      </c>
      <c r="G38" s="28">
        <f t="shared" si="8"/>
        <v>166563.17000000001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131741.49</v>
      </c>
      <c r="D41" s="16">
        <f>'Income Statement'!D5</f>
        <v>154691.84</v>
      </c>
      <c r="E41" s="16">
        <f>'Income Statement'!E5</f>
        <v>146106</v>
      </c>
      <c r="F41" s="16">
        <f>'Income Statement'!F5</f>
        <v>154719.28</v>
      </c>
      <c r="G41" s="16">
        <f>'Income Statement'!G5</f>
        <v>242326.87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100306.94</v>
      </c>
      <c r="D42" s="16">
        <f>'Income Statement'!D15</f>
        <v>123478.45000000001</v>
      </c>
      <c r="E42" s="16">
        <f>'Income Statement'!E15</f>
        <v>123447.98999999999</v>
      </c>
      <c r="F42" s="16">
        <f>'Income Statement'!F15</f>
        <v>116413.74</v>
      </c>
      <c r="G42" s="16">
        <f>'Income Statement'!G15</f>
        <v>175644.08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31434.55</v>
      </c>
      <c r="D43" s="28">
        <f t="shared" ref="D43:G43" si="9">ROUND(D41- D42, 2)</f>
        <v>31213.39</v>
      </c>
      <c r="E43" s="28">
        <f t="shared" si="9"/>
        <v>22658.01</v>
      </c>
      <c r="F43" s="28">
        <f t="shared" si="9"/>
        <v>38305.54</v>
      </c>
      <c r="G43" s="28">
        <f t="shared" si="9"/>
        <v>66682.789999999994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26213.660000000003</v>
      </c>
      <c r="D46" s="16">
        <f>'Income Statement'!D27</f>
        <v>10792.429999999978</v>
      </c>
      <c r="E46" s="16">
        <f>'Income Statement'!E27</f>
        <v>5814.93</v>
      </c>
      <c r="F46" s="16">
        <f>'Income Statement'!F27</f>
        <v>15663.730000000001</v>
      </c>
      <c r="G46" s="16">
        <f>'Income Statement'!G27</f>
        <v>44293.000000000029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207482.92</v>
      </c>
      <c r="D47" s="16">
        <f>'Balance Sheet'!D40</f>
        <v>232675.96</v>
      </c>
      <c r="E47" s="16">
        <f>'Balance Sheet'!E40</f>
        <v>248891.20999999996</v>
      </c>
      <c r="F47" s="16">
        <f>'Balance Sheet'!F40</f>
        <v>257868.13999999996</v>
      </c>
      <c r="G47" s="16">
        <f>'Balance Sheet'!G40</f>
        <v>298934.69999999995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0.13</v>
      </c>
      <c r="D48" s="27">
        <f t="shared" ref="D48:G48" si="10">ROUND(D46/ D47, 2)</f>
        <v>0.05</v>
      </c>
      <c r="E48" s="27">
        <f t="shared" si="10"/>
        <v>0.02</v>
      </c>
      <c r="F48" s="27">
        <f t="shared" si="10"/>
        <v>0.06</v>
      </c>
      <c r="G48" s="27">
        <f t="shared" si="10"/>
        <v>0.15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25521.720000000005</v>
      </c>
      <c r="D51" s="16">
        <f>'Income Statement'!D19</f>
        <v>25291.929999999978</v>
      </c>
      <c r="E51" s="16">
        <f>'Income Statement'!E19</f>
        <v>15772.33</v>
      </c>
      <c r="F51" s="16">
        <f>'Income Statement'!F19</f>
        <v>29967.5</v>
      </c>
      <c r="G51" s="16">
        <f>'Income Statement'!G19</f>
        <v>58366.810000000019</v>
      </c>
    </row>
    <row r="52" spans="2:12" ht="19.5" thickTop="1" x14ac:dyDescent="0.25">
      <c r="B52" s="15" t="str">
        <f>'Balance Sheet'!B13</f>
        <v>Total Debt</v>
      </c>
      <c r="C52" s="16">
        <f>'Balance Sheet'!C13</f>
        <v>99243.96</v>
      </c>
      <c r="D52" s="16">
        <f>'Balance Sheet'!D13</f>
        <v>103604.7</v>
      </c>
      <c r="E52" s="16">
        <f>'Balance Sheet'!E13</f>
        <v>122550.83</v>
      </c>
      <c r="F52" s="16">
        <f>'Balance Sheet'!F13</f>
        <v>89908.4</v>
      </c>
      <c r="G52" s="16">
        <f>'Balance Sheet'!G13</f>
        <v>81154.459999999992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58595.6</v>
      </c>
      <c r="D53" s="16">
        <f>'Balance Sheet'!D9</f>
        <v>68018.64999999998</v>
      </c>
      <c r="E53" s="16">
        <f>'Balance Sheet'!E9</f>
        <v>72048.059999999969</v>
      </c>
      <c r="F53" s="16">
        <f>'Balance Sheet'!F9</f>
        <v>86619.699999999968</v>
      </c>
      <c r="G53" s="16">
        <f>'Balance Sheet'!G9</f>
        <v>127932.14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0.13</v>
      </c>
      <c r="D54" s="27">
        <f t="shared" ref="D54:G54" si="11">ROUND(D51/ (D52+ D52), 2)</f>
        <v>0.12</v>
      </c>
      <c r="E54" s="27">
        <f t="shared" si="11"/>
        <v>0.06</v>
      </c>
      <c r="F54" s="27">
        <f t="shared" si="11"/>
        <v>0.17</v>
      </c>
      <c r="G54" s="27">
        <f t="shared" si="11"/>
        <v>0.36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26213.660000000003</v>
      </c>
      <c r="D57" s="16">
        <f>'Income Statement'!D27</f>
        <v>10792.429999999978</v>
      </c>
      <c r="E57" s="16">
        <f>'Income Statement'!E27</f>
        <v>5814.93</v>
      </c>
      <c r="F57" s="16">
        <f>'Income Statement'!F27</f>
        <v>15663.730000000001</v>
      </c>
      <c r="G57" s="16">
        <f>'Income Statement'!G27</f>
        <v>44293.000000000029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58595.6</v>
      </c>
      <c r="D58" s="16">
        <f>'Balance Sheet'!D9</f>
        <v>68018.64999999998</v>
      </c>
      <c r="E58" s="16">
        <f>'Balance Sheet'!E9</f>
        <v>72048.059999999969</v>
      </c>
      <c r="F58" s="16">
        <f>'Balance Sheet'!F9</f>
        <v>86619.699999999968</v>
      </c>
      <c r="G58" s="16">
        <f>'Balance Sheet'!G9</f>
        <v>127932.14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0.22</v>
      </c>
      <c r="D59" s="27">
        <f t="shared" ref="D59:G59" si="12">ROUND(D57/ (D58+ D58), 2)</f>
        <v>0.08</v>
      </c>
      <c r="E59" s="27">
        <f t="shared" si="12"/>
        <v>0.04</v>
      </c>
      <c r="F59" s="27">
        <f t="shared" si="12"/>
        <v>0.09</v>
      </c>
      <c r="G59" s="27">
        <f t="shared" si="12"/>
        <v>0.17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99243.96</v>
      </c>
      <c r="D62" s="16">
        <f>'Balance Sheet'!D13</f>
        <v>103604.7</v>
      </c>
      <c r="E62" s="16">
        <f>'Balance Sheet'!E13</f>
        <v>122550.83</v>
      </c>
      <c r="F62" s="16">
        <f>'Balance Sheet'!F13</f>
        <v>89908.4</v>
      </c>
      <c r="G62" s="16">
        <f>'Balance Sheet'!G13</f>
        <v>81154.459999999992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58595.6</v>
      </c>
      <c r="D63" s="16">
        <f>'Balance Sheet'!D9</f>
        <v>68018.64999999998</v>
      </c>
      <c r="E63" s="16">
        <f>'Balance Sheet'!E9</f>
        <v>72048.059999999969</v>
      </c>
      <c r="F63" s="16">
        <f>'Balance Sheet'!F9</f>
        <v>86619.699999999968</v>
      </c>
      <c r="G63" s="16">
        <f>'Balance Sheet'!G9</f>
        <v>127932.14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1.69</v>
      </c>
      <c r="D64" s="17">
        <f t="shared" ref="D64:G64" si="13">ROUND(D62/ D63, 2)</f>
        <v>1.52</v>
      </c>
      <c r="E64" s="17">
        <f t="shared" si="13"/>
        <v>1.7</v>
      </c>
      <c r="F64" s="17">
        <f t="shared" si="13"/>
        <v>1.04</v>
      </c>
      <c r="G64" s="17">
        <f t="shared" si="13"/>
        <v>0.63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79139.170000000013</v>
      </c>
      <c r="D67" s="16">
        <f>'Balance Sheet'!D39</f>
        <v>95877.819999999978</v>
      </c>
      <c r="E67" s="16">
        <f>'Balance Sheet'!E39</f>
        <v>109297.33999999997</v>
      </c>
      <c r="F67" s="16">
        <f>'Balance Sheet'!F39</f>
        <v>122910.11999999997</v>
      </c>
      <c r="G67" s="16">
        <f>'Balance Sheet'!G39</f>
        <v>169974.61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48706.84</v>
      </c>
      <c r="D68" s="16">
        <f>'Balance Sheet'!D19</f>
        <v>58688.149999999994</v>
      </c>
      <c r="E68" s="16">
        <f>'Balance Sheet'!E19</f>
        <v>51705.72</v>
      </c>
      <c r="F68" s="16">
        <f>'Balance Sheet'!F19</f>
        <v>78070.359999999986</v>
      </c>
      <c r="G68" s="16">
        <f>'Balance Sheet'!G19</f>
        <v>87192.68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1.62</v>
      </c>
      <c r="D69" s="17">
        <f t="shared" ref="D69:G69" si="14">ROUND(D67/ D68, 2)</f>
        <v>1.63</v>
      </c>
      <c r="E69" s="17">
        <f t="shared" si="14"/>
        <v>2.11</v>
      </c>
      <c r="F69" s="17">
        <f t="shared" si="14"/>
        <v>1.57</v>
      </c>
      <c r="G69" s="17">
        <f t="shared" si="14"/>
        <v>1.95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79139.170000000013</v>
      </c>
      <c r="D72" s="16">
        <f>'Balance Sheet'!D39</f>
        <v>95877.819999999978</v>
      </c>
      <c r="E72" s="16">
        <f>'Balance Sheet'!E39</f>
        <v>109297.33999999997</v>
      </c>
      <c r="F72" s="16">
        <f>'Balance Sheet'!F39</f>
        <v>122910.11999999997</v>
      </c>
      <c r="G72" s="16">
        <f>'Balance Sheet'!G39</f>
        <v>169974.61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28331.040000000001</v>
      </c>
      <c r="D73" s="16">
        <f>'Balance Sheet'!D36</f>
        <v>31656.1</v>
      </c>
      <c r="E73" s="16">
        <f>'Balance Sheet'!E36</f>
        <v>31068.720000000001</v>
      </c>
      <c r="F73" s="16">
        <f>'Balance Sheet'!F36</f>
        <v>33276.379999999997</v>
      </c>
      <c r="G73" s="16">
        <f>'Balance Sheet'!G36</f>
        <v>48824.39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48706.84</v>
      </c>
      <c r="D74" s="16">
        <f>'Balance Sheet'!D19</f>
        <v>58688.149999999994</v>
      </c>
      <c r="E74" s="16">
        <f>'Balance Sheet'!E19</f>
        <v>51705.72</v>
      </c>
      <c r="F74" s="16">
        <f>'Balance Sheet'!F19</f>
        <v>78070.359999999986</v>
      </c>
      <c r="G74" s="16">
        <f>'Balance Sheet'!G19</f>
        <v>87192.68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1.04</v>
      </c>
      <c r="D75" s="17">
        <f t="shared" ref="D75:G75" si="15">ROUND((D72-D73)/ D74, 2)</f>
        <v>1.0900000000000001</v>
      </c>
      <c r="E75" s="17">
        <f t="shared" si="15"/>
        <v>1.51</v>
      </c>
      <c r="F75" s="17">
        <f t="shared" si="15"/>
        <v>1.1499999999999999</v>
      </c>
      <c r="G75" s="17">
        <f t="shared" si="15"/>
        <v>1.39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25521.720000000005</v>
      </c>
      <c r="D78" s="16">
        <f>'Income Statement'!D19</f>
        <v>25291.929999999978</v>
      </c>
      <c r="E78" s="16">
        <f>'Income Statement'!E19</f>
        <v>15772.33</v>
      </c>
      <c r="F78" s="16">
        <f>'Income Statement'!F19</f>
        <v>29967.5</v>
      </c>
      <c r="G78" s="16">
        <f>'Income Statement'!G19</f>
        <v>58366.810000000019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5501.79</v>
      </c>
      <c r="D79" s="16">
        <f>'Income Statement'!D20</f>
        <v>7660.1</v>
      </c>
      <c r="E79" s="16">
        <f>'Income Statement'!E20</f>
        <v>7580.72</v>
      </c>
      <c r="F79" s="16">
        <f>'Income Statement'!F20</f>
        <v>7606.71</v>
      </c>
      <c r="G79" s="16">
        <f>'Income Statement'!G20</f>
        <v>5462.2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4.6399999999999997</v>
      </c>
      <c r="D80" s="17">
        <f t="shared" ref="D80:G80" si="16">ROUND(D78/D79, 2)</f>
        <v>3.3</v>
      </c>
      <c r="E80" s="17">
        <f t="shared" si="16"/>
        <v>2.08</v>
      </c>
      <c r="F80" s="17">
        <f t="shared" si="16"/>
        <v>3.94</v>
      </c>
      <c r="G80" s="17">
        <f t="shared" si="16"/>
        <v>10.69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41205.43</v>
      </c>
      <c r="D83" s="16">
        <f>'Income Statement'!D11</f>
        <v>54309.07</v>
      </c>
      <c r="E83" s="16">
        <f>'Income Statement'!E11</f>
        <v>53592.83</v>
      </c>
      <c r="F83" s="16">
        <f>'Income Statement'!F11</f>
        <v>45292.49</v>
      </c>
      <c r="G83" s="16">
        <f>'Income Statement'!G11</f>
        <v>75763.7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130880.87</v>
      </c>
      <c r="D84" s="16">
        <f>'Income Statement'!D7</f>
        <v>154691.63</v>
      </c>
      <c r="E84" s="16">
        <f>'Income Statement'!E7</f>
        <v>146106</v>
      </c>
      <c r="F84" s="16">
        <f>'Income Statement'!F7</f>
        <v>154719.28</v>
      </c>
      <c r="G84" s="16">
        <f>'Income Statement'!G7</f>
        <v>242326.87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0.31</v>
      </c>
      <c r="D85" s="17">
        <f t="shared" ref="D85:G85" si="17">ROUND(D83/D84, 2)</f>
        <v>0.35</v>
      </c>
      <c r="E85" s="17">
        <f t="shared" si="17"/>
        <v>0.37</v>
      </c>
      <c r="F85" s="17">
        <f t="shared" si="17"/>
        <v>0.28999999999999998</v>
      </c>
      <c r="G85" s="17">
        <f t="shared" si="17"/>
        <v>0.31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7937.85</v>
      </c>
      <c r="D88" s="16">
        <f>'Balance Sheet'!D38</f>
        <v>14458.089999999967</v>
      </c>
      <c r="E88" s="16">
        <f>'Balance Sheet'!E38</f>
        <v>27265.27999999997</v>
      </c>
      <c r="F88" s="16">
        <f>'Balance Sheet'!F38</f>
        <v>48669.599999999969</v>
      </c>
      <c r="G88" s="16">
        <f>'Balance Sheet'!G38</f>
        <v>68901.17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41205.43</v>
      </c>
      <c r="D89" s="16">
        <f>'Income Statement'!D11</f>
        <v>54309.07</v>
      </c>
      <c r="E89" s="16">
        <f>'Income Statement'!E11</f>
        <v>53592.83</v>
      </c>
      <c r="F89" s="16">
        <f>'Income Statement'!F11</f>
        <v>45292.49</v>
      </c>
      <c r="G89" s="16">
        <f>'Income Statement'!G11</f>
        <v>75763.7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>
        <f>ROUND(C88/C89*365, 2)</f>
        <v>70.31</v>
      </c>
      <c r="D90" s="17">
        <f t="shared" ref="D90:G90" si="18">ROUND(D88/D89*365, 2)</f>
        <v>97.17</v>
      </c>
      <c r="E90" s="17">
        <f t="shared" si="18"/>
        <v>185.69</v>
      </c>
      <c r="F90" s="17">
        <f t="shared" si="18"/>
        <v>392.22</v>
      </c>
      <c r="G90" s="17">
        <f t="shared" si="18"/>
        <v>331.94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7937.85</v>
      </c>
      <c r="D93" s="16">
        <f>'Balance Sheet'!D38</f>
        <v>14458.089999999967</v>
      </c>
      <c r="E93" s="16">
        <f>'Balance Sheet'!E38</f>
        <v>27265.27999999997</v>
      </c>
      <c r="F93" s="16">
        <f>'Balance Sheet'!F38</f>
        <v>48669.599999999969</v>
      </c>
      <c r="G93" s="16">
        <f>'Balance Sheet'!G38</f>
        <v>68901.17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7937.85</v>
      </c>
      <c r="D95" s="17">
        <f t="shared" ref="D95:G95" si="19">ROUND(D93/D94*365, 2)</f>
        <v>14458.09</v>
      </c>
      <c r="E95" s="17">
        <f t="shared" si="19"/>
        <v>27265.279999999999</v>
      </c>
      <c r="F95" s="17">
        <f t="shared" si="19"/>
        <v>48669.599999999999</v>
      </c>
      <c r="G95" s="17">
        <f t="shared" si="19"/>
        <v>68901.17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131741.49</v>
      </c>
      <c r="D98" s="16">
        <f>'Income Statement'!D5</f>
        <v>154691.84</v>
      </c>
      <c r="E98" s="16">
        <f>'Income Statement'!E5</f>
        <v>146106</v>
      </c>
      <c r="F98" s="16">
        <f>'Income Statement'!F5</f>
        <v>154719.28</v>
      </c>
      <c r="G98" s="16">
        <f>'Income Statement'!G5</f>
        <v>242326.87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207482.92</v>
      </c>
      <c r="D99" s="16">
        <f>'Balance Sheet'!D40</f>
        <v>232675.96</v>
      </c>
      <c r="E99" s="16">
        <f>'Balance Sheet'!E40</f>
        <v>248891.20999999996</v>
      </c>
      <c r="F99" s="16">
        <f>'Balance Sheet'!F40</f>
        <v>257868.13999999996</v>
      </c>
      <c r="G99" s="16">
        <f>'Balance Sheet'!G40</f>
        <v>298934.69999999995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0.63</v>
      </c>
      <c r="D100" s="17">
        <f t="shared" ref="D100:G100" si="20">ROUND(D98/D99, 2)</f>
        <v>0.66</v>
      </c>
      <c r="E100" s="17">
        <f t="shared" si="20"/>
        <v>0.59</v>
      </c>
      <c r="F100" s="17">
        <f t="shared" si="20"/>
        <v>0.6</v>
      </c>
      <c r="G100" s="17">
        <f t="shared" si="20"/>
        <v>0.81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131741.49</v>
      </c>
      <c r="D103" s="16">
        <f>'Income Statement'!D5</f>
        <v>154691.84</v>
      </c>
      <c r="E103" s="16">
        <f>'Income Statement'!E5</f>
        <v>146106</v>
      </c>
      <c r="F103" s="16">
        <f>'Income Statement'!F5</f>
        <v>154719.28</v>
      </c>
      <c r="G103" s="16">
        <f>'Income Statement'!G5</f>
        <v>242326.87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28331.040000000001</v>
      </c>
      <c r="D104" s="16">
        <f>'Balance Sheet'!D36</f>
        <v>31656.1</v>
      </c>
      <c r="E104" s="16">
        <f>'Balance Sheet'!E36</f>
        <v>31068.720000000001</v>
      </c>
      <c r="F104" s="16">
        <f>'Balance Sheet'!F36</f>
        <v>33276.379999999997</v>
      </c>
      <c r="G104" s="16">
        <f>'Balance Sheet'!G36</f>
        <v>48824.39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4.6500000000000004</v>
      </c>
      <c r="D105" s="17">
        <f t="shared" ref="D105:G105" si="21">ROUND(D103/D104, 2)</f>
        <v>4.8899999999999997</v>
      </c>
      <c r="E105" s="17">
        <f t="shared" si="21"/>
        <v>4.7</v>
      </c>
      <c r="F105" s="17">
        <f t="shared" si="21"/>
        <v>4.6500000000000004</v>
      </c>
      <c r="G105" s="17">
        <f t="shared" si="21"/>
        <v>4.96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131741.49</v>
      </c>
      <c r="D108" s="16">
        <f>'Income Statement'!D5</f>
        <v>154691.84</v>
      </c>
      <c r="E108" s="16">
        <f>'Income Statement'!E5</f>
        <v>146106</v>
      </c>
      <c r="F108" s="16">
        <f>'Income Statement'!F5</f>
        <v>154719.28</v>
      </c>
      <c r="G108" s="16">
        <f>'Income Statement'!G5</f>
        <v>242326.87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12415.52</v>
      </c>
      <c r="D109" s="16">
        <f>'Balance Sheet'!D37</f>
        <v>11811</v>
      </c>
      <c r="E109" s="16">
        <f>'Balance Sheet'!E37</f>
        <v>7884.91</v>
      </c>
      <c r="F109" s="16">
        <f>'Balance Sheet'!F37</f>
        <v>9539.84</v>
      </c>
      <c r="G109" s="16">
        <f>'Balance Sheet'!G37</f>
        <v>12246.43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10.61</v>
      </c>
      <c r="D110" s="17">
        <f t="shared" ref="D110:G110" si="22">ROUND(D108/D109, 2)</f>
        <v>13.1</v>
      </c>
      <c r="E110" s="17">
        <f t="shared" si="22"/>
        <v>18.53</v>
      </c>
      <c r="F110" s="17">
        <f t="shared" si="22"/>
        <v>16.22</v>
      </c>
      <c r="G110" s="17">
        <f t="shared" si="22"/>
        <v>19.79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131741.49</v>
      </c>
      <c r="D113" s="16">
        <f>'Income Statement'!D5</f>
        <v>154691.84</v>
      </c>
      <c r="E113" s="16">
        <f>'Income Statement'!E5</f>
        <v>146106</v>
      </c>
      <c r="F113" s="16">
        <f>'Income Statement'!F5</f>
        <v>154719.28</v>
      </c>
      <c r="G113" s="16">
        <f>'Income Statement'!G5</f>
        <v>242326.87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90322.78</v>
      </c>
      <c r="D114" s="16">
        <f>'Balance Sheet'!D23</f>
        <v>118450.97</v>
      </c>
      <c r="E114" s="16">
        <f>'Balance Sheet'!E23</f>
        <v>128053.75999999999</v>
      </c>
      <c r="F114" s="16">
        <f>'Balance Sheet'!F23</f>
        <v>128454.45</v>
      </c>
      <c r="G114" s="16">
        <f>'Balance Sheet'!G23</f>
        <v>124504.16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1.46</v>
      </c>
      <c r="D115" s="17">
        <f t="shared" ref="D115:G115" si="23">ROUND(D113/D114, 2)</f>
        <v>1.31</v>
      </c>
      <c r="E115" s="17">
        <f t="shared" si="23"/>
        <v>1.1399999999999999</v>
      </c>
      <c r="F115" s="17">
        <f t="shared" si="23"/>
        <v>1.2</v>
      </c>
      <c r="G115" s="17">
        <f t="shared" si="23"/>
        <v>1.95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41205.43</v>
      </c>
      <c r="D118" s="16">
        <f>'Income Statement'!D11</f>
        <v>54309.07</v>
      </c>
      <c r="E118" s="16">
        <f>'Income Statement'!E11</f>
        <v>53592.83</v>
      </c>
      <c r="F118" s="16">
        <f>'Income Statement'!F11</f>
        <v>45292.49</v>
      </c>
      <c r="G118" s="16">
        <f>'Income Statement'!G11</f>
        <v>75763.7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48706.84</v>
      </c>
      <c r="D119" s="16">
        <f>'Balance Sheet'!D19</f>
        <v>58688.149999999994</v>
      </c>
      <c r="E119" s="16">
        <f>'Balance Sheet'!E19</f>
        <v>51705.72</v>
      </c>
      <c r="F119" s="16">
        <f>'Balance Sheet'!F19</f>
        <v>78070.359999999986</v>
      </c>
      <c r="G119" s="16">
        <f>'Balance Sheet'!G19</f>
        <v>87192.68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0.85</v>
      </c>
      <c r="D120" s="17">
        <f t="shared" ref="D120:G120" si="24">ROUND(D118/D119, 2)</f>
        <v>0.93</v>
      </c>
      <c r="E120" s="17">
        <f t="shared" si="24"/>
        <v>1.04</v>
      </c>
      <c r="F120" s="17">
        <f t="shared" si="24"/>
        <v>0.57999999999999996</v>
      </c>
      <c r="G120" s="17">
        <f t="shared" si="24"/>
        <v>0.87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131741.49</v>
      </c>
      <c r="D123" s="16">
        <f>'Income Statement'!D5</f>
        <v>154691.84</v>
      </c>
      <c r="E123" s="16">
        <f>'Income Statement'!E5</f>
        <v>146106</v>
      </c>
      <c r="F123" s="16">
        <f>'Income Statement'!F5</f>
        <v>154719.28</v>
      </c>
      <c r="G123" s="16">
        <f>'Income Statement'!G5</f>
        <v>242326.87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28331.040000000001</v>
      </c>
      <c r="D124" s="16">
        <f>'Balance Sheet'!D36</f>
        <v>31656.1</v>
      </c>
      <c r="E124" s="16">
        <f>'Balance Sheet'!E36</f>
        <v>31068.720000000001</v>
      </c>
      <c r="F124" s="16">
        <f>'Balance Sheet'!F36</f>
        <v>33276.379999999997</v>
      </c>
      <c r="G124" s="16">
        <f>'Balance Sheet'!G36</f>
        <v>48824.39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78.489999999999995</v>
      </c>
      <c r="D125" s="17">
        <f t="shared" ref="D125:G125" si="25">ROUND(365/D123*D124, 2)</f>
        <v>74.69</v>
      </c>
      <c r="E125" s="17">
        <f t="shared" si="25"/>
        <v>77.62</v>
      </c>
      <c r="F125" s="17">
        <f t="shared" si="25"/>
        <v>78.5</v>
      </c>
      <c r="G125" s="17">
        <f t="shared" si="25"/>
        <v>73.540000000000006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41205.43</v>
      </c>
      <c r="D128" s="16">
        <f>'Income Statement'!D11</f>
        <v>54309.07</v>
      </c>
      <c r="E128" s="16">
        <f>'Income Statement'!E11</f>
        <v>53592.83</v>
      </c>
      <c r="F128" s="16">
        <f>'Income Statement'!F11</f>
        <v>45292.49</v>
      </c>
      <c r="G128" s="16">
        <f>'Income Statement'!G11</f>
        <v>75763.7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48706.84</v>
      </c>
      <c r="D129" s="16">
        <f>'Balance Sheet'!D19</f>
        <v>58688.149999999994</v>
      </c>
      <c r="E129" s="16">
        <f>'Balance Sheet'!E19</f>
        <v>51705.72</v>
      </c>
      <c r="F129" s="16">
        <f>'Balance Sheet'!F19</f>
        <v>78070.359999999986</v>
      </c>
      <c r="G129" s="16">
        <f>'Balance Sheet'!G19</f>
        <v>87192.68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>
        <f>ROUND(365/C128*C129, 2)</f>
        <v>431.45</v>
      </c>
      <c r="D130" s="17">
        <f t="shared" ref="D130:G130" si="26">ROUND(365/D128*D129, 2)</f>
        <v>394.43</v>
      </c>
      <c r="E130" s="17">
        <f t="shared" si="26"/>
        <v>352.15</v>
      </c>
      <c r="F130" s="17">
        <f t="shared" si="26"/>
        <v>629.15</v>
      </c>
      <c r="G130" s="17">
        <f t="shared" si="26"/>
        <v>420.06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131741.49</v>
      </c>
      <c r="D133" s="16">
        <f>'Income Statement'!D5</f>
        <v>154691.84</v>
      </c>
      <c r="E133" s="16">
        <f>'Income Statement'!E5</f>
        <v>146106</v>
      </c>
      <c r="F133" s="16">
        <f>'Income Statement'!F5</f>
        <v>154719.28</v>
      </c>
      <c r="G133" s="16">
        <f>'Income Statement'!G5</f>
        <v>242326.87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12415.52</v>
      </c>
      <c r="D134" s="16">
        <f>'Balance Sheet'!D37</f>
        <v>11811</v>
      </c>
      <c r="E134" s="16">
        <f>'Balance Sheet'!E37</f>
        <v>7884.91</v>
      </c>
      <c r="F134" s="16">
        <f>'Balance Sheet'!F37</f>
        <v>9539.84</v>
      </c>
      <c r="G134" s="16">
        <f>'Balance Sheet'!G37</f>
        <v>12246.43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34.4</v>
      </c>
      <c r="D135" s="17">
        <f t="shared" ref="D135:G135" si="27">ROUND(365/D133*D134, 2)</f>
        <v>27.87</v>
      </c>
      <c r="E135" s="17">
        <f t="shared" si="27"/>
        <v>19.7</v>
      </c>
      <c r="F135" s="17">
        <f t="shared" si="27"/>
        <v>22.51</v>
      </c>
      <c r="G135" s="17">
        <f t="shared" si="27"/>
        <v>18.45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131741.49</v>
      </c>
      <c r="D138" s="16">
        <f>'Income Statement'!D5</f>
        <v>154691.84</v>
      </c>
      <c r="E138" s="16">
        <f>'Income Statement'!E5</f>
        <v>146106</v>
      </c>
      <c r="F138" s="16">
        <f>'Income Statement'!F5</f>
        <v>154719.28</v>
      </c>
      <c r="G138" s="16">
        <f>'Income Statement'!G5</f>
        <v>242326.87</v>
      </c>
    </row>
    <row r="139" spans="2:12" ht="18.75" x14ac:dyDescent="0.25">
      <c r="B139" s="15" t="str">
        <f>'Balance Sheet'!B36</f>
        <v>Inventories</v>
      </c>
      <c r="C139" s="16">
        <f>'Balance Sheet'!C36</f>
        <v>28331.040000000001</v>
      </c>
      <c r="D139" s="16">
        <f>'Balance Sheet'!D36</f>
        <v>31656.1</v>
      </c>
      <c r="E139" s="16">
        <f>'Balance Sheet'!E36</f>
        <v>31068.720000000001</v>
      </c>
      <c r="F139" s="16">
        <f>'Balance Sheet'!F36</f>
        <v>33276.379999999997</v>
      </c>
      <c r="G139" s="16">
        <f>'Balance Sheet'!G36</f>
        <v>48824.39</v>
      </c>
    </row>
    <row r="140" spans="2:12" ht="18.75" x14ac:dyDescent="0.25">
      <c r="B140" s="15" t="s">
        <v>192</v>
      </c>
      <c r="C140" s="16">
        <f>ROUND(365/C138*C139, 2)</f>
        <v>78.489999999999995</v>
      </c>
      <c r="D140" s="16">
        <f t="shared" ref="D140:G140" si="28">ROUND(365/D138*D139, 2)</f>
        <v>74.69</v>
      </c>
      <c r="E140" s="16">
        <f t="shared" si="28"/>
        <v>77.62</v>
      </c>
      <c r="F140" s="16">
        <f t="shared" si="28"/>
        <v>78.5</v>
      </c>
      <c r="G140" s="16">
        <f t="shared" si="28"/>
        <v>73.540000000000006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41205.43</v>
      </c>
      <c r="D141" s="16">
        <f>'Income Statement'!D11</f>
        <v>54309.07</v>
      </c>
      <c r="E141" s="16">
        <f>'Income Statement'!E11</f>
        <v>53592.83</v>
      </c>
      <c r="F141" s="16">
        <f>'Income Statement'!F11</f>
        <v>45292.49</v>
      </c>
      <c r="G141" s="16">
        <f>'Income Statement'!G11</f>
        <v>75763.7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48706.84</v>
      </c>
      <c r="D142" s="16">
        <f>'Balance Sheet'!D19</f>
        <v>58688.149999999994</v>
      </c>
      <c r="E142" s="16">
        <f>'Balance Sheet'!E19</f>
        <v>51705.72</v>
      </c>
      <c r="F142" s="16">
        <f>'Balance Sheet'!F19</f>
        <v>78070.359999999986</v>
      </c>
      <c r="G142" s="16">
        <f>'Balance Sheet'!G19</f>
        <v>87192.68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>
        <f>ROUND(365/C141*C142, 2)</f>
        <v>431.45</v>
      </c>
      <c r="D143" s="16">
        <f t="shared" ref="D143:G143" si="29">ROUND(365/D141*D142, 2)</f>
        <v>394.43</v>
      </c>
      <c r="E143" s="16">
        <f t="shared" si="29"/>
        <v>352.15</v>
      </c>
      <c r="F143" s="16">
        <f t="shared" si="29"/>
        <v>629.15</v>
      </c>
      <c r="G143" s="16">
        <f t="shared" si="29"/>
        <v>420.06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>
        <f>ROUND(C143+C140, 2)</f>
        <v>509.94</v>
      </c>
      <c r="D144" s="28">
        <f t="shared" ref="D144:G144" si="30">ROUND(D143+D140, 2)</f>
        <v>469.12</v>
      </c>
      <c r="E144" s="28">
        <f t="shared" si="30"/>
        <v>429.77</v>
      </c>
      <c r="F144" s="28">
        <f t="shared" si="30"/>
        <v>707.65</v>
      </c>
      <c r="G144" s="28">
        <f t="shared" si="30"/>
        <v>493.6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131741.49</v>
      </c>
      <c r="D147" s="16">
        <f>'Income Statement'!D5</f>
        <v>154691.84</v>
      </c>
      <c r="E147" s="16">
        <f>'Income Statement'!E5</f>
        <v>146106</v>
      </c>
      <c r="F147" s="16">
        <f>'Income Statement'!F5</f>
        <v>154719.28</v>
      </c>
      <c r="G147" s="16">
        <f>'Income Statement'!G5</f>
        <v>242326.87</v>
      </c>
    </row>
    <row r="148" spans="2:12" ht="18.75" x14ac:dyDescent="0.25">
      <c r="B148" s="15" t="str">
        <f>'Balance Sheet'!B36</f>
        <v>Inventories</v>
      </c>
      <c r="C148" s="16">
        <f>'Balance Sheet'!C36</f>
        <v>28331.040000000001</v>
      </c>
      <c r="D148" s="16">
        <f>'Balance Sheet'!D36</f>
        <v>31656.1</v>
      </c>
      <c r="E148" s="16">
        <f>'Balance Sheet'!E36</f>
        <v>31068.720000000001</v>
      </c>
      <c r="F148" s="16">
        <f>'Balance Sheet'!F36</f>
        <v>33276.379999999997</v>
      </c>
      <c r="G148" s="16">
        <f>'Balance Sheet'!G36</f>
        <v>48824.39</v>
      </c>
    </row>
    <row r="149" spans="2:12" ht="18.75" x14ac:dyDescent="0.25">
      <c r="B149" s="15" t="s">
        <v>192</v>
      </c>
      <c r="C149" s="16">
        <f>ROUND(365/C147*C148, 2)</f>
        <v>78.489999999999995</v>
      </c>
      <c r="D149" s="16">
        <f t="shared" ref="D149:G149" si="31">ROUND(365/D147*D148, 2)</f>
        <v>74.69</v>
      </c>
      <c r="E149" s="16">
        <f t="shared" si="31"/>
        <v>77.62</v>
      </c>
      <c r="F149" s="16">
        <f t="shared" si="31"/>
        <v>78.5</v>
      </c>
      <c r="G149" s="16">
        <f t="shared" si="31"/>
        <v>73.540000000000006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41205.43</v>
      </c>
      <c r="D150" s="16">
        <f>'Income Statement'!D11</f>
        <v>54309.07</v>
      </c>
      <c r="E150" s="16">
        <f>'Income Statement'!E11</f>
        <v>53592.83</v>
      </c>
      <c r="F150" s="16">
        <f>'Income Statement'!F11</f>
        <v>45292.49</v>
      </c>
      <c r="G150" s="16">
        <f>'Income Statement'!G11</f>
        <v>75763.7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48706.84</v>
      </c>
      <c r="D151" s="16">
        <f>'Balance Sheet'!D19</f>
        <v>58688.149999999994</v>
      </c>
      <c r="E151" s="16">
        <f>'Balance Sheet'!E19</f>
        <v>51705.72</v>
      </c>
      <c r="F151" s="16">
        <f>'Balance Sheet'!F19</f>
        <v>78070.359999999986</v>
      </c>
      <c r="G151" s="16">
        <f>'Balance Sheet'!G19</f>
        <v>87192.68</v>
      </c>
    </row>
    <row r="152" spans="2:12" ht="18.75" x14ac:dyDescent="0.25">
      <c r="B152" s="15" t="s">
        <v>194</v>
      </c>
      <c r="C152" s="16">
        <f>ROUND(365/C150*C151, 2)</f>
        <v>431.45</v>
      </c>
      <c r="D152" s="16">
        <f t="shared" ref="D152:G152" si="32">ROUND(365/D150*D151, 2)</f>
        <v>394.43</v>
      </c>
      <c r="E152" s="16">
        <f t="shared" si="32"/>
        <v>352.15</v>
      </c>
      <c r="F152" s="16">
        <f t="shared" si="32"/>
        <v>629.15</v>
      </c>
      <c r="G152" s="16">
        <f t="shared" si="32"/>
        <v>420.06</v>
      </c>
    </row>
    <row r="153" spans="2:12" ht="18.75" x14ac:dyDescent="0.25">
      <c r="B153" s="15" t="s">
        <v>200</v>
      </c>
      <c r="C153" s="16">
        <f>ROUND(C152+C149, 2)</f>
        <v>509.94</v>
      </c>
      <c r="D153" s="16">
        <f t="shared" ref="D153:G153" si="33">ROUND(D152+D149, 2)</f>
        <v>469.12</v>
      </c>
      <c r="E153" s="16">
        <f t="shared" si="33"/>
        <v>429.77</v>
      </c>
      <c r="F153" s="16">
        <f t="shared" si="33"/>
        <v>707.65</v>
      </c>
      <c r="G153" s="16">
        <f t="shared" si="33"/>
        <v>493.6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41205.43</v>
      </c>
      <c r="D154" s="16">
        <f>'Income Statement'!D11</f>
        <v>54309.07</v>
      </c>
      <c r="E154" s="16">
        <f>'Income Statement'!E11</f>
        <v>53592.83</v>
      </c>
      <c r="F154" s="16">
        <f>'Income Statement'!F11</f>
        <v>45292.49</v>
      </c>
      <c r="G154" s="16">
        <f>'Income Statement'!G11</f>
        <v>75763.7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48706.84</v>
      </c>
      <c r="D155" s="16">
        <f>'Balance Sheet'!D19</f>
        <v>58688.149999999994</v>
      </c>
      <c r="E155" s="16">
        <f>'Balance Sheet'!E19</f>
        <v>51705.72</v>
      </c>
      <c r="F155" s="16">
        <f>'Balance Sheet'!F19</f>
        <v>78070.359999999986</v>
      </c>
      <c r="G155" s="16">
        <f>'Balance Sheet'!G19</f>
        <v>87192.68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>
        <f>ROUND(365/C154*C155, 2)</f>
        <v>431.45</v>
      </c>
      <c r="D156" s="16">
        <f t="shared" ref="D156:G156" si="34">ROUND(365/D154*D155, 2)</f>
        <v>394.43</v>
      </c>
      <c r="E156" s="16">
        <f t="shared" si="34"/>
        <v>352.15</v>
      </c>
      <c r="F156" s="16">
        <f t="shared" si="34"/>
        <v>629.15</v>
      </c>
      <c r="G156" s="16">
        <f t="shared" si="34"/>
        <v>420.06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>
        <f>ROUND(C156-C153, 2)</f>
        <v>-78.489999999999995</v>
      </c>
      <c r="D157" s="28">
        <f t="shared" ref="D157:G157" si="35">ROUND(D156-D153, 2)</f>
        <v>-74.69</v>
      </c>
      <c r="E157" s="28">
        <f t="shared" si="35"/>
        <v>-77.62</v>
      </c>
      <c r="F157" s="28">
        <f t="shared" si="35"/>
        <v>-78.5</v>
      </c>
      <c r="G157" s="28">
        <f t="shared" si="35"/>
        <v>-73.540000000000006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FFA27A58-03FC-4A8D-8C11-E0CEDA83D6F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CE5F4B8B-217C-4601-B175-E716AFA921F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73196BD8-830C-4975-BFE3-3181D82DBBE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B40BE59A-32DC-4B74-9E00-5239EC22E6B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AD8D2649-40B3-4FDF-8AE6-59B0BAA9C36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77577A32-E7BD-49A6-8714-E03354BC5A0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152C93EE-A49E-44F2-93C7-999917EAFF7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9953E4FC-FB91-469B-9632-413B8D41F06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51614B40-340D-4EB8-AC15-6DC017E2E84E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E974BCC7-2DC1-416E-8D0D-CCE7F00FC61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C8B98592-D5A7-4C5D-B2DA-3E07C11531C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F90DFAF3-16F9-4474-86B8-91D58AFD2FA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11A2594B-45BB-4EA1-A07D-2379028D930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F498A768-37C3-43BF-9900-FEF3F407388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0EA39439-A303-4ECC-9342-D83A76C8525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2D405C02-C1E2-4966-B331-033F0B551BE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C7878254-2C5A-4A1B-ADB0-558A918D870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B22DABD4-A3C6-4789-B969-CDAF143FC7E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2A88B1BE-B17E-4CF0-8C83-D71A25BFDE6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1BBCE98B-7A7E-4290-A0AB-A87A5392489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9DA088D2-F9C7-42DA-8A4D-EFC18F9BBC6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A1173921-5D8C-46FE-8BD0-7FB8383829A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BC6C14CB-1871-48EC-B537-4FF7F1FA1AC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BDD8993F-B576-40B1-B84B-58C88A929FE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8053BC96-36E5-408D-A2F6-F4F696E0347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F057A2C2-76D3-4F99-B66B-29971E02CE1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E935A1EC-3374-49BF-9182-B759C7143D6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59A09-6B30-4EE4-97CD-15B9D663905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4" width="13.140625" bestFit="1" customWidth="1"/>
    <col min="5" max="5" width="11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26213.660000000003</v>
      </c>
      <c r="D6" s="16">
        <f>'Income Statement'!D27</f>
        <v>10792.429999999978</v>
      </c>
      <c r="E6" s="16">
        <f>'Income Statement'!E27</f>
        <v>5814.93</v>
      </c>
      <c r="F6" s="16">
        <f>'Income Statement'!F27</f>
        <v>15663.730000000001</v>
      </c>
      <c r="G6" s="16">
        <f>'Income Statement'!G27</f>
        <v>44293.000000000029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204.79421875000003</v>
      </c>
      <c r="D7" s="16">
        <f>'Income Statement'!D35</f>
        <v>122.64124999999976</v>
      </c>
      <c r="E7" s="16">
        <f>'Income Statement'!E35</f>
        <v>484.57750000000004</v>
      </c>
      <c r="F7" s="16">
        <f>'Income Statement'!F35</f>
        <v>244.74578125000002</v>
      </c>
      <c r="G7" s="16">
        <f>'Income Statement'!G35</f>
        <v>133.41265060240971</v>
      </c>
    </row>
    <row r="8" spans="2:7" ht="18.75" x14ac:dyDescent="0.25">
      <c r="B8" s="17" t="s">
        <v>146</v>
      </c>
      <c r="C8" s="17">
        <f>ROUND(C6/C7, 2)</f>
        <v>128</v>
      </c>
      <c r="D8" s="17">
        <f t="shared" ref="D8:G8" si="0">ROUND(D6/D7, 2)</f>
        <v>88</v>
      </c>
      <c r="E8" s="17">
        <f t="shared" si="0"/>
        <v>12</v>
      </c>
      <c r="F8" s="17">
        <f t="shared" si="0"/>
        <v>64</v>
      </c>
      <c r="G8" s="17">
        <f t="shared" si="0"/>
        <v>332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BD44E0-D3E5-4D2D-8A42-7F9ADA870495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1236.18</v>
      </c>
      <c r="D6" s="16">
        <f>'Income Statement'!D28</f>
        <v>1144.76</v>
      </c>
      <c r="E6" s="16">
        <f>'Income Statement'!E28</f>
        <v>1488.13</v>
      </c>
      <c r="F6" s="16">
        <f>'Income Statement'!F28</f>
        <v>1144.75</v>
      </c>
      <c r="G6" s="16">
        <f>'Income Statement'!G28</f>
        <v>3004.16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204.79421875000003</v>
      </c>
      <c r="D7" s="16">
        <f>'Income Statement'!D35</f>
        <v>122.64124999999976</v>
      </c>
      <c r="E7" s="16">
        <f>'Income Statement'!E35</f>
        <v>484.57750000000004</v>
      </c>
      <c r="F7" s="16">
        <f>'Income Statement'!F35</f>
        <v>244.74578125000002</v>
      </c>
      <c r="G7" s="16">
        <f>'Income Statement'!G35</f>
        <v>133.41265060240971</v>
      </c>
    </row>
    <row r="8" spans="2:7" ht="18.75" x14ac:dyDescent="0.25">
      <c r="B8" s="17" t="s">
        <v>148</v>
      </c>
      <c r="C8" s="17">
        <f>ROUND(C6/C7, 2)</f>
        <v>6.04</v>
      </c>
      <c r="D8" s="17">
        <f t="shared" ref="D8:G8" si="0">ROUND(D6/D7, 2)</f>
        <v>9.33</v>
      </c>
      <c r="E8" s="17">
        <f t="shared" si="0"/>
        <v>3.07</v>
      </c>
      <c r="F8" s="17">
        <f t="shared" si="0"/>
        <v>4.68</v>
      </c>
      <c r="G8" s="17">
        <f t="shared" si="0"/>
        <v>22.52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090DC-1988-4890-BB4E-CBC4A460717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58595.6</v>
      </c>
      <c r="D6" s="16">
        <f>'Balance Sheet'!D9</f>
        <v>68018.64999999998</v>
      </c>
      <c r="E6" s="16">
        <f>'Balance Sheet'!E9</f>
        <v>72048.059999999969</v>
      </c>
      <c r="F6" s="16">
        <f>'Balance Sheet'!F9</f>
        <v>86619.699999999968</v>
      </c>
      <c r="G6" s="16">
        <f>'Balance Sheet'!G9</f>
        <v>127932.14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204.79421875000003</v>
      </c>
      <c r="D7" s="16">
        <f>'Income Statement'!D35</f>
        <v>122.64124999999976</v>
      </c>
      <c r="E7" s="16">
        <f>'Income Statement'!E35</f>
        <v>484.57750000000004</v>
      </c>
      <c r="F7" s="16">
        <f>'Income Statement'!F35</f>
        <v>244.74578125000002</v>
      </c>
      <c r="G7" s="16">
        <f>'Income Statement'!G35</f>
        <v>133.41265060240971</v>
      </c>
    </row>
    <row r="8" spans="2:7" ht="18.75" x14ac:dyDescent="0.25">
      <c r="B8" s="17" t="s">
        <v>150</v>
      </c>
      <c r="C8" s="17">
        <f>ROUND(C6/C7, 2)</f>
        <v>286.12</v>
      </c>
      <c r="D8" s="17">
        <f t="shared" ref="D8:G8" si="0">ROUND(D6/D7, 2)</f>
        <v>554.61</v>
      </c>
      <c r="E8" s="17">
        <f t="shared" si="0"/>
        <v>148.68</v>
      </c>
      <c r="F8" s="17">
        <f t="shared" si="0"/>
        <v>353.92</v>
      </c>
      <c r="G8" s="17">
        <f t="shared" si="0"/>
        <v>958.92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2022-07-03T10:54:14Z</dcterms:created>
  <dcterms:modified xsi:type="dcterms:W3CDTF">2022-07-04T07:14:20Z</dcterms:modified>
</cp:coreProperties>
</file>